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/>
  <mc:AlternateContent xmlns:mc="http://schemas.openxmlformats.org/markup-compatibility/2006">
    <mc:Choice Requires="x15">
      <x15ac:absPath xmlns:x15ac="http://schemas.microsoft.com/office/spreadsheetml/2010/11/ac" url="/Users/mac10psdc/Dropbox (Studio Pietrasanta)/Cartella del team Studio Pietrasanta/STUDIO/HINE Organizzazione Studio/AIUTI DI STATO CHECK LIST/Gruppo CODESS/"/>
    </mc:Choice>
  </mc:AlternateContent>
  <xr:revisionPtr revIDLastSave="0" documentId="13_ncr:1_{BBB31A43-BA28-5A41-9D15-3142EFE6E11D}" xr6:coauthVersionLast="47" xr6:coauthVersionMax="47" xr10:uidLastSave="{00000000-0000-0000-0000-000000000000}"/>
  <bookViews>
    <workbookView xWindow="620" yWindow="4580" windowWidth="38300" windowHeight="19300" xr2:uid="{00000000-000D-0000-FFFF-FFFF00000000}"/>
  </bookViews>
  <sheets>
    <sheet name="GRUPPO CODESS AGEV COVID + RNA" sheetId="15" r:id="rId1"/>
  </sheets>
  <definedNames>
    <definedName name="_xlnm._FilterDatabase" localSheetId="0" hidden="1">'GRUPPO CODESS AGEV COVID + RNA'!$A$2:$Q$23</definedName>
    <definedName name="_xlnm.Print_Area" localSheetId="0">'GRUPPO CODESS AGEV COVID + RNA'!$C$2:$C$23</definedName>
    <definedName name="_xlnm.Print_Titles" localSheetId="0">'GRUPPO CODESS AGEV COVID + RNA'!$2:$2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T48" i="15" l="1"/>
  <c r="AT5" i="15"/>
  <c r="AT6" i="15"/>
  <c r="AT7" i="15"/>
  <c r="AT8" i="15"/>
  <c r="AT9" i="15"/>
  <c r="AT10" i="15"/>
  <c r="AT11" i="15"/>
  <c r="AT12" i="15"/>
  <c r="AT13" i="15"/>
  <c r="AT14" i="15"/>
  <c r="AT15" i="15"/>
  <c r="AT16" i="15"/>
  <c r="AT18" i="15"/>
  <c r="AT19" i="15"/>
  <c r="AT20" i="15"/>
  <c r="AT21" i="15"/>
  <c r="AT22" i="15"/>
  <c r="AT23" i="15"/>
  <c r="AT24" i="15"/>
  <c r="AT25" i="15"/>
  <c r="AT26" i="15"/>
  <c r="AT27" i="15"/>
  <c r="AT28" i="15"/>
  <c r="AT29" i="15"/>
  <c r="AT30" i="15"/>
  <c r="AT31" i="15"/>
  <c r="AT32" i="15"/>
  <c r="AT33" i="15"/>
  <c r="AT34" i="15"/>
  <c r="AT35" i="15"/>
  <c r="AT36" i="15"/>
  <c r="AT37" i="15"/>
  <c r="AT38" i="15"/>
  <c r="AT39" i="15"/>
  <c r="AT40" i="15"/>
  <c r="AT42" i="15"/>
  <c r="AT43" i="15"/>
  <c r="AT45" i="15"/>
  <c r="AT4" i="15"/>
  <c r="BA4" i="15"/>
  <c r="R10" i="15" l="1"/>
  <c r="R11" i="15"/>
  <c r="R12" i="15"/>
  <c r="R13" i="15"/>
  <c r="R14" i="15"/>
  <c r="BA14" i="15"/>
  <c r="AF45" i="15"/>
  <c r="AW33" i="15"/>
  <c r="AW26" i="15"/>
  <c r="AW16" i="15"/>
  <c r="AW4" i="15"/>
  <c r="AX4" i="15"/>
  <c r="AU42" i="15"/>
  <c r="AU43" i="15"/>
  <c r="AU19" i="15"/>
  <c r="AU20" i="15"/>
  <c r="AU21" i="15"/>
  <c r="AU22" i="15"/>
  <c r="AU23" i="15"/>
  <c r="AU24" i="15"/>
  <c r="AU27" i="15"/>
  <c r="AU29" i="15"/>
  <c r="AU30" i="15"/>
  <c r="AU32" i="15"/>
  <c r="AU35" i="15"/>
  <c r="AU36" i="15"/>
  <c r="AU37" i="15"/>
  <c r="AU38" i="15"/>
  <c r="AU39" i="15"/>
  <c r="AU40" i="15"/>
  <c r="AU18" i="15"/>
  <c r="AU5" i="15"/>
  <c r="AU6" i="15"/>
  <c r="AU7" i="15"/>
  <c r="AU8" i="15"/>
  <c r="AU9" i="15"/>
  <c r="AU11" i="15"/>
  <c r="AU13" i="15"/>
  <c r="AU14" i="15"/>
  <c r="AU15" i="15"/>
  <c r="AU16" i="15"/>
  <c r="AS7" i="15"/>
  <c r="AS5" i="15"/>
  <c r="AS6" i="15"/>
  <c r="AS8" i="15"/>
  <c r="AS9" i="15"/>
  <c r="AS11" i="15"/>
  <c r="AS12" i="15"/>
  <c r="AS13" i="15"/>
  <c r="AS14" i="15"/>
  <c r="AS15" i="15"/>
  <c r="AS16" i="15"/>
  <c r="AS18" i="15"/>
  <c r="AS19" i="15"/>
  <c r="AS20" i="15"/>
  <c r="AS21" i="15"/>
  <c r="AS22" i="15"/>
  <c r="AS23" i="15"/>
  <c r="AS24" i="15"/>
  <c r="AS25" i="15"/>
  <c r="AS26" i="15"/>
  <c r="AS27" i="15"/>
  <c r="AS28" i="15"/>
  <c r="AS29" i="15"/>
  <c r="AS30" i="15"/>
  <c r="AS31" i="15"/>
  <c r="AS32" i="15"/>
  <c r="AS33" i="15"/>
  <c r="AS34" i="15"/>
  <c r="AS35" i="15"/>
  <c r="AS36" i="15"/>
  <c r="AS38" i="15"/>
  <c r="AS39" i="15"/>
  <c r="AS40" i="15"/>
  <c r="AS42" i="15"/>
  <c r="AS43" i="15"/>
  <c r="AS4" i="15"/>
  <c r="AR4" i="15"/>
  <c r="AM43" i="15"/>
  <c r="AM42" i="15"/>
  <c r="AM19" i="15"/>
  <c r="AM20" i="15"/>
  <c r="AM21" i="15"/>
  <c r="AM22" i="15"/>
  <c r="AM23" i="15"/>
  <c r="AM24" i="15"/>
  <c r="AM27" i="15"/>
  <c r="AM29" i="15"/>
  <c r="AM30" i="15"/>
  <c r="AM32" i="15"/>
  <c r="AM35" i="15"/>
  <c r="AM36" i="15"/>
  <c r="AM38" i="15"/>
  <c r="AM39" i="15"/>
  <c r="AM40" i="15"/>
  <c r="AM18" i="15"/>
  <c r="AM5" i="15"/>
  <c r="AM6" i="15"/>
  <c r="AM7" i="15"/>
  <c r="AM8" i="15"/>
  <c r="AM9" i="15"/>
  <c r="AM11" i="15"/>
  <c r="AM13" i="15"/>
  <c r="AM14" i="15"/>
  <c r="AM15" i="15"/>
  <c r="AM16" i="15"/>
  <c r="AX45" i="15"/>
  <c r="R17" i="15"/>
  <c r="R18" i="15"/>
  <c r="R19" i="15"/>
  <c r="R20" i="15"/>
  <c r="R21" i="15"/>
  <c r="R22" i="15"/>
  <c r="R23" i="15"/>
  <c r="R25" i="15"/>
  <c r="R26" i="15"/>
  <c r="R27" i="15"/>
  <c r="R29" i="15"/>
  <c r="R30" i="15"/>
  <c r="R31" i="15"/>
  <c r="R32" i="15"/>
  <c r="R33" i="15"/>
  <c r="R34" i="15"/>
  <c r="R35" i="15"/>
  <c r="R38" i="15"/>
  <c r="R39" i="15"/>
  <c r="R40" i="15"/>
  <c r="R42" i="15"/>
  <c r="R43" i="15"/>
  <c r="R44" i="15"/>
  <c r="R45" i="15"/>
  <c r="R5" i="15"/>
  <c r="R6" i="15"/>
  <c r="R7" i="15"/>
  <c r="R8" i="15"/>
  <c r="R9" i="15"/>
  <c r="R16" i="15"/>
  <c r="R4" i="15"/>
  <c r="BA40" i="15"/>
  <c r="BB40" i="15" s="1"/>
  <c r="BC40" i="15" s="1"/>
  <c r="AR40" i="15"/>
  <c r="S40" i="15"/>
  <c r="E48" i="15"/>
  <c r="BA18" i="15"/>
  <c r="BB18" i="15" s="1"/>
  <c r="BC18" i="15" s="1"/>
  <c r="AR18" i="15"/>
  <c r="S18" i="15"/>
  <c r="AO40" i="15" l="1"/>
  <c r="AO18" i="15"/>
  <c r="BA42" i="15"/>
  <c r="BB42" i="15" s="1"/>
  <c r="BC42" i="15" s="1"/>
  <c r="BA43" i="15"/>
  <c r="BB43" i="15" s="1"/>
  <c r="BC43" i="15" s="1"/>
  <c r="BA5" i="15"/>
  <c r="BB5" i="15" s="1"/>
  <c r="BC5" i="15" s="1"/>
  <c r="BA6" i="15"/>
  <c r="BB6" i="15" s="1"/>
  <c r="BC6" i="15" s="1"/>
  <c r="BA7" i="15"/>
  <c r="BB7" i="15" s="1"/>
  <c r="BC7" i="15" s="1"/>
  <c r="BA8" i="15"/>
  <c r="BB8" i="15" s="1"/>
  <c r="BC8" i="15" s="1"/>
  <c r="BA9" i="15"/>
  <c r="BB9" i="15" s="1"/>
  <c r="BC9" i="15" s="1"/>
  <c r="BA11" i="15"/>
  <c r="BB11" i="15" s="1"/>
  <c r="BC11" i="15" s="1"/>
  <c r="BA13" i="15"/>
  <c r="BB13" i="15" s="1"/>
  <c r="BC13" i="15" s="1"/>
  <c r="BB14" i="15"/>
  <c r="BC14" i="15" s="1"/>
  <c r="BA15" i="15"/>
  <c r="BA16" i="15"/>
  <c r="BB16" i="15" s="1"/>
  <c r="BC16" i="15" s="1"/>
  <c r="BA19" i="15"/>
  <c r="BB19" i="15" s="1"/>
  <c r="BC19" i="15" s="1"/>
  <c r="BA20" i="15"/>
  <c r="BB20" i="15" s="1"/>
  <c r="BC20" i="15" s="1"/>
  <c r="BA21" i="15"/>
  <c r="BB21" i="15" s="1"/>
  <c r="BC21" i="15" s="1"/>
  <c r="BA22" i="15"/>
  <c r="BB22" i="15" s="1"/>
  <c r="BC22" i="15" s="1"/>
  <c r="BA23" i="15"/>
  <c r="BB23" i="15" s="1"/>
  <c r="BC23" i="15" s="1"/>
  <c r="BA24" i="15"/>
  <c r="BA27" i="15"/>
  <c r="BB27" i="15" s="1"/>
  <c r="BC27" i="15" s="1"/>
  <c r="BA29" i="15"/>
  <c r="BB29" i="15" s="1"/>
  <c r="BC29" i="15" s="1"/>
  <c r="BA30" i="15"/>
  <c r="BB30" i="15" s="1"/>
  <c r="BC30" i="15" s="1"/>
  <c r="BA32" i="15"/>
  <c r="BB32" i="15" s="1"/>
  <c r="BC32" i="15" s="1"/>
  <c r="BA34" i="15"/>
  <c r="BA35" i="15"/>
  <c r="BB35" i="15" s="1"/>
  <c r="BC35" i="15" s="1"/>
  <c r="BA36" i="15"/>
  <c r="BA38" i="15"/>
  <c r="BB38" i="15" s="1"/>
  <c r="BC38" i="15" s="1"/>
  <c r="BA39" i="15"/>
  <c r="BB39" i="15" s="1"/>
  <c r="BC39" i="15" s="1"/>
  <c r="J48" i="15"/>
  <c r="AS45" i="15"/>
  <c r="AG48" i="15"/>
  <c r="M48" i="15"/>
  <c r="N48" i="15"/>
  <c r="AH26" i="15"/>
  <c r="S4" i="15"/>
  <c r="AH4" i="15" l="1"/>
  <c r="AW45" i="15"/>
  <c r="AU4" i="15" l="1"/>
  <c r="BB4" i="15"/>
  <c r="AM4" i="15"/>
  <c r="F48" i="15"/>
  <c r="AW34" i="15"/>
  <c r="AW32" i="15"/>
  <c r="AW28" i="15"/>
  <c r="AW10" i="15"/>
  <c r="AW25" i="15"/>
  <c r="AX48" i="15"/>
  <c r="AF10" i="15"/>
  <c r="AS10" i="15" s="1"/>
  <c r="BC4" i="15" l="1"/>
  <c r="AO4" i="15"/>
  <c r="AW48" i="15"/>
  <c r="L36" i="15" l="1"/>
  <c r="L28" i="15"/>
  <c r="R28" i="15" s="1"/>
  <c r="L24" i="15"/>
  <c r="L15" i="15"/>
  <c r="AH28" i="15"/>
  <c r="AE33" i="15"/>
  <c r="AE26" i="15"/>
  <c r="AU26" i="15" s="1"/>
  <c r="AE25" i="15"/>
  <c r="AE10" i="15"/>
  <c r="BA10" i="15" s="1"/>
  <c r="S45" i="15"/>
  <c r="AR22" i="15"/>
  <c r="AR19" i="15"/>
  <c r="AR43" i="15"/>
  <c r="AR45" i="15"/>
  <c r="AR39" i="15"/>
  <c r="AR20" i="15"/>
  <c r="AR21" i="15"/>
  <c r="AR23" i="15"/>
  <c r="AR24" i="15"/>
  <c r="AR25" i="15"/>
  <c r="AR26" i="15"/>
  <c r="AR27" i="15"/>
  <c r="AR28" i="15"/>
  <c r="AR29" i="15"/>
  <c r="AR30" i="15"/>
  <c r="AR31" i="15"/>
  <c r="AR32" i="15"/>
  <c r="AR33" i="15"/>
  <c r="AR34" i="15"/>
  <c r="AR35" i="15"/>
  <c r="AR36" i="15"/>
  <c r="AR38" i="15"/>
  <c r="AR5" i="15"/>
  <c r="AR6" i="15"/>
  <c r="AR7" i="15"/>
  <c r="AR8" i="15"/>
  <c r="AR9" i="15"/>
  <c r="AR10" i="15"/>
  <c r="AR11" i="15"/>
  <c r="AR12" i="15"/>
  <c r="AR13" i="15"/>
  <c r="AR14" i="15"/>
  <c r="AR15" i="15"/>
  <c r="AR16" i="15"/>
  <c r="AE31" i="15"/>
  <c r="AE28" i="15"/>
  <c r="AB45" i="15"/>
  <c r="AM31" i="15" l="1"/>
  <c r="AU31" i="15"/>
  <c r="AM10" i="15"/>
  <c r="AU10" i="15"/>
  <c r="AM25" i="15"/>
  <c r="AU25" i="15"/>
  <c r="AM33" i="15"/>
  <c r="AU33" i="15"/>
  <c r="BA26" i="15"/>
  <c r="BB26" i="15" s="1"/>
  <c r="BC26" i="15" s="1"/>
  <c r="AM26" i="15"/>
  <c r="R15" i="15"/>
  <c r="BB15" i="15"/>
  <c r="BC15" i="15" s="1"/>
  <c r="R24" i="15"/>
  <c r="BB24" i="15"/>
  <c r="BC24" i="15" s="1"/>
  <c r="R36" i="15"/>
  <c r="BB36" i="15"/>
  <c r="BC36" i="15" s="1"/>
  <c r="BB10" i="15"/>
  <c r="BA33" i="15"/>
  <c r="BB33" i="15" s="1"/>
  <c r="BC33" i="15" s="1"/>
  <c r="BA31" i="15"/>
  <c r="BB31" i="15" s="1"/>
  <c r="BC31" i="15" s="1"/>
  <c r="BA25" i="15"/>
  <c r="S28" i="15"/>
  <c r="L48" i="15"/>
  <c r="AB48" i="15"/>
  <c r="AA48" i="15"/>
  <c r="S15" i="15"/>
  <c r="AO15" i="15" s="1"/>
  <c r="S16" i="15"/>
  <c r="S36" i="15"/>
  <c r="AO36" i="15" s="1"/>
  <c r="AD28" i="15"/>
  <c r="AD12" i="15"/>
  <c r="S42" i="15"/>
  <c r="S43" i="15"/>
  <c r="S20" i="15"/>
  <c r="AO20" i="15" s="1"/>
  <c r="S21" i="15"/>
  <c r="AO21" i="15" s="1"/>
  <c r="S22" i="15"/>
  <c r="AO22" i="15" s="1"/>
  <c r="S23" i="15"/>
  <c r="AO23" i="15" s="1"/>
  <c r="S24" i="15"/>
  <c r="AO24" i="15" s="1"/>
  <c r="S25" i="15"/>
  <c r="S26" i="15"/>
  <c r="S27" i="15"/>
  <c r="AO27" i="15" s="1"/>
  <c r="S29" i="15"/>
  <c r="AO29" i="15" s="1"/>
  <c r="S30" i="15"/>
  <c r="AO30" i="15" s="1"/>
  <c r="S31" i="15"/>
  <c r="S32" i="15"/>
  <c r="AO32" i="15" s="1"/>
  <c r="S33" i="15"/>
  <c r="S34" i="15"/>
  <c r="S35" i="15"/>
  <c r="AO35" i="15" s="1"/>
  <c r="S38" i="15"/>
  <c r="AO38" i="15" s="1"/>
  <c r="S39" i="15"/>
  <c r="AO39" i="15" s="1"/>
  <c r="S19" i="15"/>
  <c r="AO19" i="15" s="1"/>
  <c r="S5" i="15"/>
  <c r="S6" i="15"/>
  <c r="AO6" i="15" s="1"/>
  <c r="S7" i="15"/>
  <c r="AO7" i="15" s="1"/>
  <c r="S8" i="15"/>
  <c r="AO8" i="15" s="1"/>
  <c r="S9" i="15"/>
  <c r="AO9" i="15" s="1"/>
  <c r="S10" i="15"/>
  <c r="S11" i="15"/>
  <c r="AO11" i="15" s="1"/>
  <c r="S12" i="15"/>
  <c r="S13" i="15"/>
  <c r="AO13" i="15" s="1"/>
  <c r="S14" i="15"/>
  <c r="AO14" i="15" s="1"/>
  <c r="P48" i="15"/>
  <c r="K48" i="15"/>
  <c r="H48" i="15"/>
  <c r="AH34" i="15"/>
  <c r="AU34" i="15" s="1"/>
  <c r="AF48" i="15"/>
  <c r="BB25" i="15" l="1"/>
  <c r="BC25" i="15" s="1"/>
  <c r="AM12" i="15"/>
  <c r="AO12" i="15" s="1"/>
  <c r="AU12" i="15"/>
  <c r="BC10" i="15"/>
  <c r="AM28" i="15"/>
  <c r="AO28" i="15" s="1"/>
  <c r="AU28" i="15"/>
  <c r="BB34" i="15"/>
  <c r="BC34" i="15" s="1"/>
  <c r="AM34" i="15"/>
  <c r="AO34" i="15" s="1"/>
  <c r="BA28" i="15"/>
  <c r="BB28" i="15" s="1"/>
  <c r="BC28" i="15" s="1"/>
  <c r="BA12" i="15"/>
  <c r="BB12" i="15" s="1"/>
  <c r="BC12" i="15" s="1"/>
  <c r="AH48" i="15"/>
  <c r="AO5" i="15"/>
  <c r="AO43" i="15"/>
  <c r="BB57" i="15" l="1"/>
  <c r="AO16" i="15"/>
  <c r="AD45" i="15"/>
  <c r="AU45" i="15" s="1"/>
  <c r="AC37" i="15"/>
  <c r="AM37" i="15" l="1"/>
  <c r="AS37" i="15"/>
  <c r="BA45" i="15"/>
  <c r="BB45" i="15" s="1"/>
  <c r="BC45" i="15" s="1"/>
  <c r="AM45" i="15"/>
  <c r="AM48" i="15" s="1"/>
  <c r="AU48" i="15"/>
  <c r="AO10" i="15"/>
  <c r="AR42" i="15"/>
  <c r="AR37" i="15"/>
  <c r="AO31" i="15"/>
  <c r="AO33" i="15"/>
  <c r="AO25" i="15"/>
  <c r="AO26" i="15"/>
  <c r="AD48" i="15"/>
  <c r="AE48" i="15"/>
  <c r="AC48" i="15"/>
  <c r="AS48" i="15" s="1"/>
  <c r="BB53" i="15" s="1"/>
  <c r="AO45" i="15" l="1"/>
  <c r="AR48" i="15"/>
  <c r="BB52" i="15" s="1"/>
  <c r="AO42" i="15"/>
  <c r="I37" i="15"/>
  <c r="R37" i="15" s="1"/>
  <c r="R48" i="15" l="1"/>
  <c r="BB56" i="15" s="1"/>
  <c r="BA37" i="15"/>
  <c r="S37" i="15"/>
  <c r="S48" i="15" s="1"/>
  <c r="AO48" i="15" s="1"/>
  <c r="I48" i="15"/>
  <c r="BB37" i="15" l="1"/>
  <c r="BA48" i="15"/>
  <c r="BB54" i="15" s="1"/>
  <c r="BC37" i="15"/>
  <c r="BB58" i="15" s="1"/>
  <c r="BB48" i="15"/>
  <c r="BB55" i="15" s="1"/>
  <c r="AO37" i="15"/>
  <c r="AO49" i="15" s="1"/>
  <c r="BC48" i="15" l="1"/>
</calcChain>
</file>

<file path=xl/sharedStrings.xml><?xml version="1.0" encoding="utf-8"?>
<sst xmlns="http://schemas.openxmlformats.org/spreadsheetml/2006/main" count="132" uniqueCount="128">
  <si>
    <t>AGE CONSORZIO FRA COOPERATIVE SOCIALI</t>
  </si>
  <si>
    <t>GESTIO S.R.L.</t>
  </si>
  <si>
    <t>HCR CENTRI RESIDENZIALI SRL</t>
  </si>
  <si>
    <t>HCS CODESS SANITA' SRL</t>
  </si>
  <si>
    <t>ISTITUTO SAN GIORGIO SRL</t>
  </si>
  <si>
    <t>HCMR CENTRO MEDICI E RIABILITAZIONE SRL</t>
  </si>
  <si>
    <t>ISAB SRL</t>
  </si>
  <si>
    <t>EATY SRL</t>
  </si>
  <si>
    <t>VALORE VITA SRL</t>
  </si>
  <si>
    <t>COMPASS MEDICS SRL</t>
  </si>
  <si>
    <t>CASA ANNA E ROSANNA SRL</t>
  </si>
  <si>
    <t>@NORD CARE SRL</t>
  </si>
  <si>
    <t>@NORD CONSORZIO FRA COOPERATIVE SOCIALI</t>
  </si>
  <si>
    <t>CENTRO REGINA GIOVANNA SRL</t>
  </si>
  <si>
    <t>AZZURRA SRL</t>
  </si>
  <si>
    <t>CODESS SANITA' S.R.L.</t>
  </si>
  <si>
    <t>CODESS SOCIETA' COOPERATIVA SOCIALE</t>
  </si>
  <si>
    <t>CONSORZIO IMPRESA SOCIALE</t>
  </si>
  <si>
    <t>DOMANI SERENO SERVICE SRL</t>
  </si>
  <si>
    <t xml:space="preserve">HSI - HOLDING SOCIETA' DI INVESTIMENTI SRL </t>
  </si>
  <si>
    <t>INTERNATIONAL SCHOOL SRL</t>
  </si>
  <si>
    <t>IPSOFT SRL</t>
  </si>
  <si>
    <t>MACKRAPID SRL</t>
  </si>
  <si>
    <t>PR IMMOBILIARE SRL</t>
  </si>
  <si>
    <t>PUNTO RIABILITATIVO SRL</t>
  </si>
  <si>
    <t>RESIDENZA GRUARO SRL</t>
  </si>
  <si>
    <t>RESIDENZA SOLESINO SRL</t>
  </si>
  <si>
    <t>SALUTE &amp; CULTURA SANITA' SRL</t>
  </si>
  <si>
    <t>SALUTE &amp; CULTURA SRL</t>
  </si>
  <si>
    <t>SERVIZI SOCIALI SPA</t>
  </si>
  <si>
    <t>SIIS SPA</t>
  </si>
  <si>
    <t>SORRISO E SALUTE SRL</t>
  </si>
  <si>
    <t>SOCIETA'</t>
  </si>
  <si>
    <t>MORATORIA LEASING E MUTUI</t>
  </si>
  <si>
    <t>COLLEGATE</t>
  </si>
  <si>
    <t>CONTROLLATE</t>
  </si>
  <si>
    <t>2020 DE MINIMIS</t>
  </si>
  <si>
    <t>TOTALI GRUPPO</t>
  </si>
  <si>
    <r>
      <t>N. AIUTI PRESENTI NEL</t>
    </r>
    <r>
      <rPr>
        <b/>
        <sz val="20"/>
        <rFont val="Arial"/>
        <family val="2"/>
      </rPr>
      <t xml:space="preserve"> RNA</t>
    </r>
  </si>
  <si>
    <t>2021 DE MINIMIS</t>
  </si>
  <si>
    <t>TOTALE RNA</t>
  </si>
  <si>
    <t>TOTALE AGEVOLAZIONI COVID 19</t>
  </si>
  <si>
    <t>TOTALE RNA + AGEVOLAZIONI COVID-19</t>
  </si>
  <si>
    <t>WHC</t>
  </si>
  <si>
    <t>MILANO BIMBI</t>
  </si>
  <si>
    <t>2019 DE MINIMIS</t>
  </si>
  <si>
    <t>2019 Sovvenzione</t>
  </si>
  <si>
    <t>AIUTI RIENTRANTI NEL QUADRO 3.1</t>
  </si>
  <si>
    <t>2020 Sovvenzione Quadro sezione 3.1</t>
  </si>
  <si>
    <t>2020 Garanzie Quadro sezione 3.1</t>
  </si>
  <si>
    <t>2021 Garanzie Quadro sezione 3.1</t>
  </si>
  <si>
    <t>%</t>
  </si>
  <si>
    <t>QUADRO 3.2 RNA Garanzia MCC (Art. 56 DL Cura Italia)</t>
  </si>
  <si>
    <t>QUADRO 3.2 RNA Garanzia SACE</t>
  </si>
  <si>
    <t>COLLEGATE o in rapporto RILEVANTE</t>
  </si>
  <si>
    <t>VIRDIS - SLOVENIA</t>
  </si>
  <si>
    <t>GOLFHILL LTD - UK</t>
  </si>
  <si>
    <t>IMPORTI AIUTI ACQUISITI DA REGISTRO RNA</t>
  </si>
  <si>
    <t>04219830371</t>
  </si>
  <si>
    <t>10657130018</t>
  </si>
  <si>
    <t>02647540307</t>
  </si>
  <si>
    <t>06012060965</t>
  </si>
  <si>
    <t>09723220969</t>
  </si>
  <si>
    <t>03258170277</t>
  </si>
  <si>
    <t>04842280267</t>
  </si>
  <si>
    <t>04689940288</t>
  </si>
  <si>
    <t>10918580969</t>
  </si>
  <si>
    <t>04530230269</t>
  </si>
  <si>
    <t>CF</t>
  </si>
  <si>
    <t>09693740962</t>
  </si>
  <si>
    <t>09694020968</t>
  </si>
  <si>
    <t>09728040966</t>
  </si>
  <si>
    <t>02233980560</t>
  </si>
  <si>
    <t>04418930238</t>
  </si>
  <si>
    <t>04849850260</t>
  </si>
  <si>
    <t>04727310262</t>
  </si>
  <si>
    <t>01658930357</t>
  </si>
  <si>
    <t>03307110928</t>
  </si>
  <si>
    <t>02115850279</t>
  </si>
  <si>
    <t>09545140155</t>
  </si>
  <si>
    <t>05064080285</t>
  </si>
  <si>
    <t>04454990286</t>
  </si>
  <si>
    <t>04518960283</t>
  </si>
  <si>
    <t>03625070267</t>
  </si>
  <si>
    <t>04251280287</t>
  </si>
  <si>
    <t>03641480276</t>
  </si>
  <si>
    <t>04200970277</t>
  </si>
  <si>
    <t>01169830070</t>
  </si>
  <si>
    <t>08039010965</t>
  </si>
  <si>
    <t>CSM SRL FUSA IN CODESS</t>
  </si>
  <si>
    <t>03174760276</t>
  </si>
  <si>
    <t>08807540151</t>
  </si>
  <si>
    <t>Aiuti ricevuti dal 28 gennaio 2021 compresi quelli dal 1 marzo 2020 al 27 gennaio 2021 rientranti nella sezione 3.1 limite 1.800.000 euro</t>
  </si>
  <si>
    <t>2021 Sovvenzione Quadro sezione 3.1</t>
  </si>
  <si>
    <t>Aiuti ricevuti tra 1 marzo 2020 al 27 gennaio 2021 rientranti nella Sezione 3.1 limite 800.000 euro</t>
  </si>
  <si>
    <t>DE MINIMIS RNA triennio 2019-2021</t>
  </si>
  <si>
    <t xml:space="preserve">AGEVOLAZIONI COVID SEZIONE 3.1 </t>
  </si>
  <si>
    <t>RNA</t>
  </si>
  <si>
    <t>SEZIONE 3.1 RNA</t>
  </si>
  <si>
    <t>&lt; 200.000</t>
  </si>
  <si>
    <t>&lt; 800.000</t>
  </si>
  <si>
    <t>&lt; 1.800.000</t>
  </si>
  <si>
    <t>DE MINIMIS TRIENNIO 2019-2021 limite 200.000 euro</t>
  </si>
  <si>
    <t>HARMONIA SRL</t>
  </si>
  <si>
    <t>11431850962</t>
  </si>
  <si>
    <t>SOFT SRL</t>
  </si>
  <si>
    <t>03294830264</t>
  </si>
  <si>
    <t>2022 DE MINIMIS</t>
  </si>
  <si>
    <t>2022 Garanzie Quadro sezione 3.1</t>
  </si>
  <si>
    <t>DE MINIMIS RNA triennio 2020-2022</t>
  </si>
  <si>
    <t>Aiuti ricevuti dal 1 gennaio 2022 compresi quelli dal 1 marzo 2020 al 31 dicembre 2021 rientranti nella sezione 3.1 limite 2.300.000 euro</t>
  </si>
  <si>
    <t>&lt; 2.300.000</t>
  </si>
  <si>
    <t>DE MINIMIS TRIENNIO 2020-2022 limite 200.000 euro</t>
  </si>
  <si>
    <t>2022       Quadro sezione 3.1</t>
  </si>
  <si>
    <t>CONTROLLATE + CONTROLLANTE</t>
  </si>
  <si>
    <t>IRAP agevolazione regionale anno 2021</t>
  </si>
  <si>
    <t>importi presenti in RNA</t>
  </si>
  <si>
    <t>SEZIONE 3.1 RNA 2020 2021</t>
  </si>
  <si>
    <t>Art. 24, D.L 34/2020, Saldo Irap 2019</t>
  </si>
  <si>
    <t>Art. 24, D.L 34/2020, I Acconto Irap 2020</t>
  </si>
  <si>
    <t>Art. 25, D.L 34/2020 Contributo Fondo Perduto</t>
  </si>
  <si>
    <t xml:space="preserve">Art. 28, D.L 34/2020 e s.m Credito d'imposta Canoni di locazione/affitto d'azienda </t>
  </si>
  <si>
    <t xml:space="preserve">Art. 125, D.L 34/2020 Credito d'imposta sanificazione e acquisto DPI </t>
  </si>
  <si>
    <t xml:space="preserve">Art. 1, D.L 41/2021 Contributo Fondo perduto DL Sostegni </t>
  </si>
  <si>
    <t>Art. 1, co. Da 1 a 4, D.L 73/2021 Contributo Fondo perduto DL Sostegni BIS Automatico</t>
  </si>
  <si>
    <t>Art. 32 DL 73/2021 Credito d'imposta sanificazione e acquisto DPI 2021</t>
  </si>
  <si>
    <t>Art 28 D.L 34/2020 e succ. mod. e art. 4 D.L 73/2021 Credito Locazioni 2021</t>
  </si>
  <si>
    <t>Art. 1, co. 16-27, D.L 73/2021 Contributo Fondo perduto DL Sostegni BIS  "Perequativo"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</si>
</sst>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4" x14ac:knownFonts="1">
    <font>
      <sz val="10"/>
      <name val="Arial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16"/>
      <color rgb="FFFF0000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b/>
      <sz val="28"/>
      <name val="Arial"/>
      <family val="2"/>
    </font>
    <font>
      <b/>
      <sz val="22"/>
      <name val="Arial"/>
      <family val="2"/>
    </font>
    <font>
      <b/>
      <sz val="48"/>
      <name val="Arial"/>
      <family val="2"/>
    </font>
    <font>
      <b/>
      <sz val="18"/>
      <name val="Arial"/>
      <family val="2"/>
    </font>
    <font>
      <sz val="36"/>
      <name val="Arial"/>
      <family val="2"/>
    </font>
    <font>
      <sz val="20"/>
      <color rgb="FFFF0000"/>
      <name val="Arial"/>
      <family val="2"/>
    </font>
    <font>
      <sz val="24"/>
      <name val="Arial"/>
      <family val="2"/>
    </font>
    <font>
      <sz val="16"/>
      <color rgb="FFFF0000"/>
      <name val="Arial"/>
      <family val="2"/>
    </font>
    <font>
      <b/>
      <sz val="16"/>
      <color theme="3" tint="-0.249977111117893"/>
      <name val="Arial"/>
      <family val="2"/>
    </font>
    <font>
      <sz val="10"/>
      <color theme="3" tint="-0.249977111117893"/>
      <name val="Arial"/>
      <family val="2"/>
    </font>
    <font>
      <sz val="18"/>
      <color theme="3" tint="-0.249977111117893"/>
      <name val="Arial"/>
      <family val="2"/>
    </font>
    <font>
      <sz val="22"/>
      <name val="Arial"/>
      <family val="2"/>
    </font>
    <font>
      <sz val="26"/>
      <name val="Arial"/>
      <family val="2"/>
    </font>
    <font>
      <b/>
      <sz val="36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" fillId="0" borderId="0"/>
  </cellStyleXfs>
  <cellXfs count="264">
    <xf numFmtId="0" fontId="0" fillId="0" borderId="0" xfId="0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7" fillId="2" borderId="0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/>
    </xf>
    <xf numFmtId="43" fontId="5" fillId="0" borderId="5" xfId="1" applyFont="1" applyFill="1" applyBorder="1"/>
    <xf numFmtId="43" fontId="4" fillId="0" borderId="5" xfId="1" applyFont="1" applyFill="1" applyBorder="1" applyAlignment="1">
      <alignment horizontal="center" vertical="center"/>
    </xf>
    <xf numFmtId="0" fontId="5" fillId="0" borderId="5" xfId="0" applyFont="1" applyFill="1" applyBorder="1"/>
    <xf numFmtId="43" fontId="4" fillId="0" borderId="5" xfId="1" applyFont="1" applyFill="1" applyBorder="1"/>
    <xf numFmtId="0" fontId="3" fillId="0" borderId="5" xfId="0" applyFont="1" applyFill="1" applyBorder="1"/>
    <xf numFmtId="0" fontId="4" fillId="0" borderId="0" xfId="0" applyFont="1" applyFill="1" applyBorder="1"/>
    <xf numFmtId="0" fontId="4" fillId="0" borderId="7" xfId="0" applyFont="1" applyFill="1" applyBorder="1"/>
    <xf numFmtId="43" fontId="4" fillId="0" borderId="9" xfId="1" applyFont="1" applyFill="1" applyBorder="1" applyAlignment="1">
      <alignment horizontal="center" vertical="center"/>
    </xf>
    <xf numFmtId="43" fontId="4" fillId="0" borderId="12" xfId="1" applyFont="1" applyFill="1" applyBorder="1" applyAlignment="1">
      <alignment horizontal="center" vertical="center"/>
    </xf>
    <xf numFmtId="0" fontId="5" fillId="0" borderId="12" xfId="0" applyFont="1" applyFill="1" applyBorder="1"/>
    <xf numFmtId="43" fontId="4" fillId="0" borderId="14" xfId="1" applyFont="1" applyFill="1" applyBorder="1" applyAlignment="1">
      <alignment horizontal="center" vertical="center"/>
    </xf>
    <xf numFmtId="0" fontId="5" fillId="0" borderId="14" xfId="0" applyFont="1" applyFill="1" applyBorder="1"/>
    <xf numFmtId="0" fontId="5" fillId="0" borderId="15" xfId="0" applyFont="1" applyFill="1" applyBorder="1"/>
    <xf numFmtId="43" fontId="5" fillId="0" borderId="9" xfId="1" applyFont="1" applyFill="1" applyBorder="1"/>
    <xf numFmtId="0" fontId="5" fillId="0" borderId="9" xfId="0" applyFont="1" applyFill="1" applyBorder="1"/>
    <xf numFmtId="43" fontId="4" fillId="0" borderId="10" xfId="1" applyFont="1" applyFill="1" applyBorder="1" applyAlignment="1">
      <alignment horizontal="center" vertical="center"/>
    </xf>
    <xf numFmtId="43" fontId="5" fillId="0" borderId="14" xfId="1" applyFont="1" applyFill="1" applyBorder="1"/>
    <xf numFmtId="43" fontId="4" fillId="0" borderId="15" xfId="1" applyFont="1" applyFill="1" applyBorder="1" applyAlignment="1">
      <alignment horizontal="center" vertical="center"/>
    </xf>
    <xf numFmtId="0" fontId="5" fillId="0" borderId="10" xfId="0" applyFont="1" applyFill="1" applyBorder="1"/>
    <xf numFmtId="0" fontId="2" fillId="0" borderId="6" xfId="0" applyFont="1" applyFill="1" applyBorder="1" applyAlignment="1">
      <alignment horizontal="center" vertical="center"/>
    </xf>
    <xf numFmtId="0" fontId="3" fillId="0" borderId="6" xfId="0" applyFont="1" applyFill="1" applyBorder="1"/>
    <xf numFmtId="0" fontId="4" fillId="4" borderId="4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/>
    <xf numFmtId="0" fontId="4" fillId="4" borderId="3" xfId="0" applyFont="1" applyFill="1" applyBorder="1"/>
    <xf numFmtId="0" fontId="9" fillId="6" borderId="4" xfId="0" applyFont="1" applyFill="1" applyBorder="1"/>
    <xf numFmtId="0" fontId="4" fillId="7" borderId="2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11" xfId="0" applyFont="1" applyFill="1" applyBorder="1"/>
    <xf numFmtId="0" fontId="8" fillId="0" borderId="5" xfId="0" applyFont="1" applyFill="1" applyBorder="1"/>
    <xf numFmtId="0" fontId="8" fillId="0" borderId="13" xfId="0" applyFont="1" applyFill="1" applyBorder="1"/>
    <xf numFmtId="0" fontId="8" fillId="0" borderId="14" xfId="0" applyFont="1" applyFill="1" applyBorder="1"/>
    <xf numFmtId="0" fontId="8" fillId="0" borderId="0" xfId="0" applyFont="1" applyFill="1" applyBorder="1"/>
    <xf numFmtId="0" fontId="8" fillId="0" borderId="8" xfId="0" applyFont="1" applyFill="1" applyBorder="1"/>
    <xf numFmtId="0" fontId="8" fillId="0" borderId="9" xfId="0" applyFont="1" applyFill="1" applyBorder="1"/>
    <xf numFmtId="164" fontId="8" fillId="0" borderId="5" xfId="1" applyNumberFormat="1" applyFont="1" applyFill="1" applyBorder="1" applyAlignment="1">
      <alignment horizontal="center"/>
    </xf>
    <xf numFmtId="164" fontId="8" fillId="0" borderId="6" xfId="1" applyNumberFormat="1" applyFont="1" applyFill="1" applyBorder="1" applyAlignment="1">
      <alignment horizontal="center"/>
    </xf>
    <xf numFmtId="164" fontId="8" fillId="0" borderId="0" xfId="1" applyNumberFormat="1" applyFont="1" applyFill="1" applyBorder="1" applyAlignment="1">
      <alignment horizontal="center"/>
    </xf>
    <xf numFmtId="164" fontId="8" fillId="0" borderId="4" xfId="1" applyNumberFormat="1" applyFont="1" applyFill="1" applyBorder="1" applyAlignment="1">
      <alignment horizontal="center"/>
    </xf>
    <xf numFmtId="164" fontId="8" fillId="0" borderId="1" xfId="1" applyNumberFormat="1" applyFont="1" applyFill="1" applyBorder="1" applyAlignment="1">
      <alignment horizontal="center"/>
    </xf>
    <xf numFmtId="164" fontId="8" fillId="0" borderId="5" xfId="1" applyNumberFormat="1" applyFont="1" applyFill="1" applyBorder="1"/>
    <xf numFmtId="164" fontId="8" fillId="0" borderId="6" xfId="1" applyNumberFormat="1" applyFont="1" applyFill="1" applyBorder="1"/>
    <xf numFmtId="164" fontId="8" fillId="0" borderId="0" xfId="1" applyNumberFormat="1" applyFont="1" applyFill="1" applyBorder="1"/>
    <xf numFmtId="164" fontId="8" fillId="0" borderId="9" xfId="1" applyNumberFormat="1" applyFont="1" applyFill="1" applyBorder="1" applyAlignment="1">
      <alignment horizontal="center"/>
    </xf>
    <xf numFmtId="164" fontId="8" fillId="0" borderId="16" xfId="1" applyNumberFormat="1" applyFont="1" applyFill="1" applyBorder="1" applyAlignment="1">
      <alignment horizontal="center"/>
    </xf>
    <xf numFmtId="164" fontId="8" fillId="0" borderId="14" xfId="1" applyNumberFormat="1" applyFont="1" applyFill="1" applyBorder="1"/>
    <xf numFmtId="164" fontId="8" fillId="0" borderId="17" xfId="1" applyNumberFormat="1" applyFont="1" applyFill="1" applyBorder="1"/>
    <xf numFmtId="164" fontId="8" fillId="0" borderId="9" xfId="1" applyNumberFormat="1" applyFont="1" applyFill="1" applyBorder="1"/>
    <xf numFmtId="164" fontId="8" fillId="0" borderId="16" xfId="1" applyNumberFormat="1" applyFont="1" applyFill="1" applyBorder="1"/>
    <xf numFmtId="0" fontId="10" fillId="0" borderId="0" xfId="0" applyFont="1" applyFill="1" applyBorder="1"/>
    <xf numFmtId="43" fontId="3" fillId="0" borderId="0" xfId="1" applyFont="1" applyFill="1" applyBorder="1"/>
    <xf numFmtId="0" fontId="8" fillId="0" borderId="20" xfId="0" applyFont="1" applyFill="1" applyBorder="1"/>
    <xf numFmtId="0" fontId="8" fillId="0" borderId="21" xfId="0" applyFont="1" applyFill="1" applyBorder="1"/>
    <xf numFmtId="0" fontId="8" fillId="0" borderId="22" xfId="0" applyFont="1" applyFill="1" applyBorder="1"/>
    <xf numFmtId="0" fontId="8" fillId="0" borderId="20" xfId="0" applyFont="1" applyFill="1" applyBorder="1" applyAlignment="1">
      <alignment horizontal="right"/>
    </xf>
    <xf numFmtId="0" fontId="8" fillId="0" borderId="21" xfId="0" applyFont="1" applyFill="1" applyBorder="1" applyAlignment="1">
      <alignment horizontal="right"/>
    </xf>
    <xf numFmtId="0" fontId="8" fillId="0" borderId="22" xfId="0" applyFont="1" applyFill="1" applyBorder="1" applyAlignment="1">
      <alignment horizontal="right"/>
    </xf>
    <xf numFmtId="164" fontId="8" fillId="0" borderId="10" xfId="1" applyNumberFormat="1" applyFont="1" applyFill="1" applyBorder="1" applyAlignment="1">
      <alignment horizontal="center"/>
    </xf>
    <xf numFmtId="164" fontId="8" fillId="0" borderId="12" xfId="1" applyNumberFormat="1" applyFont="1" applyFill="1" applyBorder="1" applyAlignment="1">
      <alignment horizontal="center"/>
    </xf>
    <xf numFmtId="164" fontId="8" fillId="0" borderId="12" xfId="1" applyNumberFormat="1" applyFont="1" applyFill="1" applyBorder="1"/>
    <xf numFmtId="164" fontId="8" fillId="0" borderId="15" xfId="1" applyNumberFormat="1" applyFont="1" applyFill="1" applyBorder="1"/>
    <xf numFmtId="164" fontId="8" fillId="0" borderId="10" xfId="1" applyNumberFormat="1" applyFont="1" applyFill="1" applyBorder="1"/>
    <xf numFmtId="164" fontId="8" fillId="0" borderId="1" xfId="1" applyNumberFormat="1" applyFont="1" applyFill="1" applyBorder="1"/>
    <xf numFmtId="164" fontId="8" fillId="0" borderId="3" xfId="1" applyNumberFormat="1" applyFont="1" applyFill="1" applyBorder="1"/>
    <xf numFmtId="164" fontId="8" fillId="0" borderId="4" xfId="1" applyNumberFormat="1" applyFont="1" applyFill="1" applyBorder="1"/>
    <xf numFmtId="43" fontId="4" fillId="0" borderId="23" xfId="1" applyFont="1" applyFill="1" applyBorder="1"/>
    <xf numFmtId="43" fontId="4" fillId="0" borderId="24" xfId="1" applyFont="1" applyFill="1" applyBorder="1" applyAlignment="1">
      <alignment horizontal="center" vertical="center"/>
    </xf>
    <xf numFmtId="0" fontId="5" fillId="0" borderId="24" xfId="0" applyFont="1" applyFill="1" applyBorder="1"/>
    <xf numFmtId="0" fontId="5" fillId="0" borderId="25" xfId="0" applyFont="1" applyFill="1" applyBorder="1"/>
    <xf numFmtId="164" fontId="8" fillId="0" borderId="2" xfId="1" applyNumberFormat="1" applyFont="1" applyFill="1" applyBorder="1"/>
    <xf numFmtId="164" fontId="8" fillId="0" borderId="26" xfId="1" applyNumberFormat="1" applyFont="1" applyFill="1" applyBorder="1"/>
    <xf numFmtId="164" fontId="8" fillId="0" borderId="24" xfId="1" applyNumberFormat="1" applyFont="1" applyFill="1" applyBorder="1"/>
    <xf numFmtId="164" fontId="8" fillId="0" borderId="25" xfId="1" applyNumberFormat="1" applyFont="1" applyFill="1" applyBorder="1"/>
    <xf numFmtId="0" fontId="9" fillId="6" borderId="3" xfId="0" applyFont="1" applyFill="1" applyBorder="1"/>
    <xf numFmtId="0" fontId="11" fillId="8" borderId="2" xfId="0" applyFont="1" applyFill="1" applyBorder="1" applyAlignment="1">
      <alignment wrapText="1"/>
    </xf>
    <xf numFmtId="0" fontId="12" fillId="9" borderId="2" xfId="0" applyFont="1" applyFill="1" applyBorder="1"/>
    <xf numFmtId="164" fontId="10" fillId="2" borderId="2" xfId="0" applyNumberFormat="1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horizontal="center" vertical="center" wrapText="1"/>
    </xf>
    <xf numFmtId="0" fontId="4" fillId="4" borderId="27" xfId="0" applyFont="1" applyFill="1" applyBorder="1"/>
    <xf numFmtId="0" fontId="8" fillId="0" borderId="28" xfId="0" applyFont="1" applyFill="1" applyBorder="1"/>
    <xf numFmtId="0" fontId="8" fillId="0" borderId="29" xfId="0" applyFont="1" applyFill="1" applyBorder="1"/>
    <xf numFmtId="0" fontId="8" fillId="0" borderId="31" xfId="0" applyFont="1" applyFill="1" applyBorder="1" applyAlignment="1">
      <alignment horizontal="right"/>
    </xf>
    <xf numFmtId="164" fontId="8" fillId="0" borderId="32" xfId="1" applyNumberFormat="1" applyFont="1" applyFill="1" applyBorder="1"/>
    <xf numFmtId="164" fontId="8" fillId="0" borderId="29" xfId="1" applyNumberFormat="1" applyFont="1" applyFill="1" applyBorder="1"/>
    <xf numFmtId="164" fontId="8" fillId="0" borderId="30" xfId="1" applyNumberFormat="1" applyFont="1" applyFill="1" applyBorder="1"/>
    <xf numFmtId="0" fontId="4" fillId="3" borderId="2" xfId="0" applyFont="1" applyFill="1" applyBorder="1" applyAlignment="1">
      <alignment horizontal="center" vertical="center" wrapText="1"/>
    </xf>
    <xf numFmtId="164" fontId="8" fillId="0" borderId="3" xfId="1" applyNumberFormat="1" applyFont="1" applyFill="1" applyBorder="1" applyAlignment="1">
      <alignment horizontal="center"/>
    </xf>
    <xf numFmtId="0" fontId="4" fillId="12" borderId="2" xfId="0" applyFont="1" applyFill="1" applyBorder="1" applyAlignment="1">
      <alignment horizontal="center" vertical="center" wrapText="1"/>
    </xf>
    <xf numFmtId="0" fontId="4" fillId="13" borderId="2" xfId="0" applyFont="1" applyFill="1" applyBorder="1" applyAlignment="1">
      <alignment horizontal="center" vertical="center" wrapText="1"/>
    </xf>
    <xf numFmtId="164" fontId="8" fillId="0" borderId="4" xfId="0" applyNumberFormat="1" applyFont="1" applyFill="1" applyBorder="1"/>
    <xf numFmtId="164" fontId="8" fillId="0" borderId="1" xfId="0" applyNumberFormat="1" applyFont="1" applyFill="1" applyBorder="1"/>
    <xf numFmtId="164" fontId="8" fillId="0" borderId="3" xfId="0" applyNumberFormat="1" applyFont="1" applyFill="1" applyBorder="1"/>
    <xf numFmtId="164" fontId="9" fillId="3" borderId="2" xfId="0" applyNumberFormat="1" applyFont="1" applyFill="1" applyBorder="1"/>
    <xf numFmtId="164" fontId="8" fillId="0" borderId="2" xfId="0" applyNumberFormat="1" applyFont="1" applyFill="1" applyBorder="1"/>
    <xf numFmtId="0" fontId="9" fillId="14" borderId="2" xfId="0" applyFont="1" applyFill="1" applyBorder="1" applyAlignment="1">
      <alignment horizontal="center" vertical="center" wrapText="1"/>
    </xf>
    <xf numFmtId="0" fontId="14" fillId="0" borderId="0" xfId="0" applyFont="1" applyFill="1" applyBorder="1"/>
    <xf numFmtId="43" fontId="4" fillId="15" borderId="9" xfId="1" applyFont="1" applyFill="1" applyBorder="1"/>
    <xf numFmtId="43" fontId="4" fillId="15" borderId="5" xfId="1" applyFont="1" applyFill="1" applyBorder="1"/>
    <xf numFmtId="43" fontId="4" fillId="15" borderId="14" xfId="1" applyFont="1" applyFill="1" applyBorder="1"/>
    <xf numFmtId="43" fontId="4" fillId="15" borderId="24" xfId="1" applyFont="1" applyFill="1" applyBorder="1"/>
    <xf numFmtId="0" fontId="13" fillId="14" borderId="0" xfId="0" applyFont="1" applyFill="1" applyBorder="1" applyAlignment="1">
      <alignment horizontal="center"/>
    </xf>
    <xf numFmtId="0" fontId="5" fillId="0" borderId="17" xfId="0" applyFont="1" applyFill="1" applyBorder="1"/>
    <xf numFmtId="0" fontId="5" fillId="0" borderId="26" xfId="0" applyFont="1" applyFill="1" applyBorder="1"/>
    <xf numFmtId="164" fontId="8" fillId="9" borderId="33" xfId="0" applyNumberFormat="1" applyFont="1" applyFill="1" applyBorder="1"/>
    <xf numFmtId="164" fontId="8" fillId="9" borderId="4" xfId="0" applyNumberFormat="1" applyFont="1" applyFill="1" applyBorder="1"/>
    <xf numFmtId="164" fontId="8" fillId="9" borderId="35" xfId="0" applyNumberFormat="1" applyFont="1" applyFill="1" applyBorder="1"/>
    <xf numFmtId="164" fontId="8" fillId="9" borderId="3" xfId="0" applyNumberFormat="1" applyFont="1" applyFill="1" applyBorder="1"/>
    <xf numFmtId="0" fontId="2" fillId="0" borderId="38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3" fillId="0" borderId="39" xfId="0" applyFont="1" applyFill="1" applyBorder="1"/>
    <xf numFmtId="0" fontId="3" fillId="0" borderId="40" xfId="0" applyFont="1" applyFill="1" applyBorder="1"/>
    <xf numFmtId="0" fontId="2" fillId="0" borderId="40" xfId="0" applyFont="1" applyFill="1" applyBorder="1" applyAlignment="1">
      <alignment horizontal="center" vertical="center"/>
    </xf>
    <xf numFmtId="0" fontId="3" fillId="0" borderId="38" xfId="0" applyFont="1" applyFill="1" applyBorder="1"/>
    <xf numFmtId="0" fontId="4" fillId="0" borderId="18" xfId="0" applyFont="1" applyFill="1" applyBorder="1"/>
    <xf numFmtId="0" fontId="4" fillId="0" borderId="9" xfId="0" applyFont="1" applyFill="1" applyBorder="1"/>
    <xf numFmtId="0" fontId="5" fillId="0" borderId="16" xfId="0" applyFont="1" applyFill="1" applyBorder="1"/>
    <xf numFmtId="164" fontId="8" fillId="0" borderId="16" xfId="3" applyNumberFormat="1" applyFont="1" applyFill="1" applyBorder="1"/>
    <xf numFmtId="164" fontId="8" fillId="0" borderId="10" xfId="3" applyNumberFormat="1" applyFont="1" applyFill="1" applyBorder="1"/>
    <xf numFmtId="0" fontId="4" fillId="0" borderId="19" xfId="0" applyFont="1" applyFill="1" applyBorder="1"/>
    <xf numFmtId="0" fontId="4" fillId="0" borderId="14" xfId="0" applyFont="1" applyFill="1" applyBorder="1"/>
    <xf numFmtId="43" fontId="4" fillId="16" borderId="9" xfId="1" applyFont="1" applyFill="1" applyBorder="1" applyAlignment="1">
      <alignment horizontal="left"/>
    </xf>
    <xf numFmtId="43" fontId="4" fillId="16" borderId="9" xfId="1" applyFont="1" applyFill="1" applyBorder="1" applyAlignment="1">
      <alignment horizontal="center" vertical="center"/>
    </xf>
    <xf numFmtId="43" fontId="5" fillId="16" borderId="9" xfId="1" applyFont="1" applyFill="1" applyBorder="1" applyAlignment="1">
      <alignment horizontal="center"/>
    </xf>
    <xf numFmtId="43" fontId="5" fillId="16" borderId="16" xfId="1" applyFont="1" applyFill="1" applyBorder="1" applyAlignment="1">
      <alignment horizontal="center"/>
    </xf>
    <xf numFmtId="43" fontId="5" fillId="16" borderId="10" xfId="1" applyFont="1" applyFill="1" applyBorder="1" applyAlignment="1">
      <alignment horizontal="center"/>
    </xf>
    <xf numFmtId="43" fontId="4" fillId="16" borderId="5" xfId="1" applyFont="1" applyFill="1" applyBorder="1" applyAlignment="1">
      <alignment horizontal="left"/>
    </xf>
    <xf numFmtId="43" fontId="5" fillId="16" borderId="5" xfId="1" applyFont="1" applyFill="1" applyBorder="1" applyAlignment="1">
      <alignment horizontal="center"/>
    </xf>
    <xf numFmtId="0" fontId="3" fillId="16" borderId="5" xfId="0" applyFont="1" applyFill="1" applyBorder="1" applyAlignment="1">
      <alignment horizontal="center"/>
    </xf>
    <xf numFmtId="0" fontId="3" fillId="16" borderId="6" xfId="0" applyFont="1" applyFill="1" applyBorder="1" applyAlignment="1">
      <alignment horizontal="center"/>
    </xf>
    <xf numFmtId="0" fontId="3" fillId="16" borderId="12" xfId="0" applyFont="1" applyFill="1" applyBorder="1" applyAlignment="1">
      <alignment horizontal="center"/>
    </xf>
    <xf numFmtId="43" fontId="5" fillId="16" borderId="5" xfId="1" applyFont="1" applyFill="1" applyBorder="1"/>
    <xf numFmtId="43" fontId="5" fillId="16" borderId="6" xfId="1" applyFont="1" applyFill="1" applyBorder="1"/>
    <xf numFmtId="43" fontId="5" fillId="16" borderId="12" xfId="1" applyFont="1" applyFill="1" applyBorder="1"/>
    <xf numFmtId="43" fontId="4" fillId="16" borderId="5" xfId="1" applyFont="1" applyFill="1" applyBorder="1"/>
    <xf numFmtId="43" fontId="4" fillId="16" borderId="5" xfId="1" applyFont="1" applyFill="1" applyBorder="1" applyAlignment="1">
      <alignment horizontal="center" vertical="center"/>
    </xf>
    <xf numFmtId="43" fontId="4" fillId="16" borderId="6" xfId="1" applyFont="1" applyFill="1" applyBorder="1" applyAlignment="1">
      <alignment horizontal="center" vertical="center"/>
    </xf>
    <xf numFmtId="43" fontId="4" fillId="16" borderId="12" xfId="1" applyFont="1" applyFill="1" applyBorder="1" applyAlignment="1">
      <alignment horizontal="center" vertical="center"/>
    </xf>
    <xf numFmtId="0" fontId="5" fillId="16" borderId="5" xfId="0" applyFont="1" applyFill="1" applyBorder="1"/>
    <xf numFmtId="0" fontId="5" fillId="16" borderId="6" xfId="0" applyFont="1" applyFill="1" applyBorder="1"/>
    <xf numFmtId="0" fontId="5" fillId="16" borderId="12" xfId="0" applyFont="1" applyFill="1" applyBorder="1"/>
    <xf numFmtId="43" fontId="4" fillId="16" borderId="29" xfId="1" applyFont="1" applyFill="1" applyBorder="1"/>
    <xf numFmtId="43" fontId="4" fillId="16" borderId="29" xfId="1" applyFont="1" applyFill="1" applyBorder="1" applyAlignment="1">
      <alignment horizontal="center" vertical="center"/>
    </xf>
    <xf numFmtId="43" fontId="4" fillId="16" borderId="32" xfId="1" applyFont="1" applyFill="1" applyBorder="1"/>
    <xf numFmtId="0" fontId="5" fillId="16" borderId="30" xfId="0" applyFont="1" applyFill="1" applyBorder="1"/>
    <xf numFmtId="43" fontId="4" fillId="16" borderId="14" xfId="1" applyFont="1" applyFill="1" applyBorder="1"/>
    <xf numFmtId="43" fontId="4" fillId="16" borderId="14" xfId="1" applyFont="1" applyFill="1" applyBorder="1" applyAlignment="1">
      <alignment horizontal="center" vertical="center"/>
    </xf>
    <xf numFmtId="0" fontId="5" fillId="16" borderId="14" xfId="0" applyFont="1" applyFill="1" applyBorder="1"/>
    <xf numFmtId="0" fontId="5" fillId="16" borderId="17" xfId="0" applyFont="1" applyFill="1" applyBorder="1"/>
    <xf numFmtId="0" fontId="5" fillId="16" borderId="15" xfId="0" applyFont="1" applyFill="1" applyBorder="1"/>
    <xf numFmtId="164" fontId="15" fillId="0" borderId="0" xfId="0" applyNumberFormat="1" applyFont="1" applyFill="1" applyBorder="1"/>
    <xf numFmtId="0" fontId="13" fillId="0" borderId="41" xfId="0" applyFont="1" applyFill="1" applyBorder="1" applyAlignment="1">
      <alignment vertical="center"/>
    </xf>
    <xf numFmtId="164" fontId="13" fillId="0" borderId="42" xfId="0" applyNumberFormat="1" applyFont="1" applyFill="1" applyBorder="1" applyAlignment="1">
      <alignment vertical="center"/>
    </xf>
    <xf numFmtId="0" fontId="13" fillId="0" borderId="43" xfId="0" applyFont="1" applyFill="1" applyBorder="1" applyAlignment="1">
      <alignment vertical="center" wrapText="1"/>
    </xf>
    <xf numFmtId="164" fontId="13" fillId="0" borderId="44" xfId="0" applyNumberFormat="1" applyFont="1" applyFill="1" applyBorder="1" applyAlignment="1">
      <alignment vertical="center"/>
    </xf>
    <xf numFmtId="43" fontId="4" fillId="14" borderId="5" xfId="1" applyFont="1" applyFill="1" applyBorder="1" applyAlignment="1">
      <alignment horizontal="center" vertical="center"/>
    </xf>
    <xf numFmtId="0" fontId="4" fillId="4" borderId="33" xfId="0" applyFont="1" applyFill="1" applyBorder="1" applyAlignment="1">
      <alignment horizontal="left"/>
    </xf>
    <xf numFmtId="0" fontId="4" fillId="4" borderId="34" xfId="0" applyFont="1" applyFill="1" applyBorder="1" applyAlignment="1">
      <alignment horizontal="left"/>
    </xf>
    <xf numFmtId="0" fontId="4" fillId="4" borderId="45" xfId="0" applyFont="1" applyFill="1" applyBorder="1"/>
    <xf numFmtId="0" fontId="9" fillId="6" borderId="46" xfId="0" applyFont="1" applyFill="1" applyBorder="1"/>
    <xf numFmtId="0" fontId="9" fillId="6" borderId="47" xfId="0" applyFont="1" applyFill="1" applyBorder="1"/>
    <xf numFmtId="0" fontId="11" fillId="8" borderId="36" xfId="0" applyFont="1" applyFill="1" applyBorder="1" applyAlignment="1">
      <alignment wrapText="1"/>
    </xf>
    <xf numFmtId="0" fontId="4" fillId="17" borderId="2" xfId="0" applyFont="1" applyFill="1" applyBorder="1" applyAlignment="1">
      <alignment horizontal="center" vertical="center" wrapText="1"/>
    </xf>
    <xf numFmtId="164" fontId="15" fillId="0" borderId="12" xfId="1" applyNumberFormat="1" applyFont="1" applyFill="1" applyBorder="1"/>
    <xf numFmtId="0" fontId="15" fillId="0" borderId="0" xfId="0" applyFont="1" applyFill="1" applyBorder="1"/>
    <xf numFmtId="43" fontId="4" fillId="3" borderId="9" xfId="1" applyFont="1" applyFill="1" applyBorder="1" applyAlignment="1">
      <alignment horizontal="center" vertical="center"/>
    </xf>
    <xf numFmtId="43" fontId="5" fillId="3" borderId="5" xfId="1" applyFont="1" applyFill="1" applyBorder="1" applyAlignment="1">
      <alignment horizontal="center"/>
    </xf>
    <xf numFmtId="43" fontId="5" fillId="3" borderId="5" xfId="1" applyFont="1" applyFill="1" applyBorder="1"/>
    <xf numFmtId="43" fontId="4" fillId="3" borderId="5" xfId="1" applyFont="1" applyFill="1" applyBorder="1" applyAlignment="1">
      <alignment horizontal="center" vertical="center"/>
    </xf>
    <xf numFmtId="43" fontId="4" fillId="3" borderId="29" xfId="1" applyFont="1" applyFill="1" applyBorder="1" applyAlignment="1">
      <alignment horizontal="center" vertical="center"/>
    </xf>
    <xf numFmtId="43" fontId="4" fillId="3" borderId="14" xfId="1" applyFont="1" applyFill="1" applyBorder="1" applyAlignment="1">
      <alignment horizontal="center" vertical="center"/>
    </xf>
    <xf numFmtId="43" fontId="5" fillId="3" borderId="9" xfId="1" applyFont="1" applyFill="1" applyBorder="1"/>
    <xf numFmtId="43" fontId="5" fillId="3" borderId="14" xfId="1" applyFont="1" applyFill="1" applyBorder="1"/>
    <xf numFmtId="43" fontId="4" fillId="3" borderId="24" xfId="1" applyFont="1" applyFill="1" applyBorder="1" applyAlignment="1">
      <alignment horizontal="center" vertical="center"/>
    </xf>
    <xf numFmtId="0" fontId="13" fillId="3" borderId="37" xfId="0" applyFont="1" applyFill="1" applyBorder="1" applyAlignment="1"/>
    <xf numFmtId="0" fontId="13" fillId="3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164" fontId="16" fillId="0" borderId="0" xfId="0" applyNumberFormat="1" applyFont="1" applyFill="1" applyBorder="1"/>
    <xf numFmtId="0" fontId="9" fillId="3" borderId="2" xfId="0" applyFont="1" applyFill="1" applyBorder="1" applyAlignment="1">
      <alignment horizontal="center" vertical="center" wrapText="1"/>
    </xf>
    <xf numFmtId="0" fontId="4" fillId="14" borderId="2" xfId="0" applyFont="1" applyFill="1" applyBorder="1" applyAlignment="1">
      <alignment horizontal="center" vertical="center" wrapText="1"/>
    </xf>
    <xf numFmtId="164" fontId="9" fillId="14" borderId="2" xfId="0" applyNumberFormat="1" applyFont="1" applyFill="1" applyBorder="1"/>
    <xf numFmtId="164" fontId="9" fillId="2" borderId="2" xfId="0" applyNumberFormat="1" applyFont="1" applyFill="1" applyBorder="1"/>
    <xf numFmtId="0" fontId="17" fillId="0" borderId="0" xfId="0" applyFont="1" applyFill="1" applyBorder="1" applyAlignment="1">
      <alignment horizontal="left" vertical="top" wrapText="1"/>
    </xf>
    <xf numFmtId="164" fontId="8" fillId="3" borderId="33" xfId="0" applyNumberFormat="1" applyFont="1" applyFill="1" applyBorder="1"/>
    <xf numFmtId="164" fontId="8" fillId="3" borderId="34" xfId="0" applyNumberFormat="1" applyFont="1" applyFill="1" applyBorder="1"/>
    <xf numFmtId="164" fontId="8" fillId="3" borderId="35" xfId="0" applyNumberFormat="1" applyFont="1" applyFill="1" applyBorder="1"/>
    <xf numFmtId="164" fontId="8" fillId="3" borderId="2" xfId="0" applyNumberFormat="1" applyFont="1" applyFill="1" applyBorder="1"/>
    <xf numFmtId="164" fontId="10" fillId="14" borderId="2" xfId="0" applyNumberFormat="1" applyFont="1" applyFill="1" applyBorder="1"/>
    <xf numFmtId="164" fontId="8" fillId="0" borderId="0" xfId="0" applyNumberFormat="1" applyFont="1" applyFill="1" applyBorder="1"/>
    <xf numFmtId="0" fontId="8" fillId="0" borderId="18" xfId="0" applyFont="1" applyFill="1" applyBorder="1"/>
    <xf numFmtId="164" fontId="8" fillId="0" borderId="8" xfId="1" applyNumberFormat="1" applyFont="1" applyFill="1" applyBorder="1"/>
    <xf numFmtId="164" fontId="8" fillId="0" borderId="11" xfId="1" applyNumberFormat="1" applyFont="1" applyFill="1" applyBorder="1"/>
    <xf numFmtId="164" fontId="8" fillId="0" borderId="13" xfId="1" applyNumberFormat="1" applyFont="1" applyFill="1" applyBorder="1"/>
    <xf numFmtId="164" fontId="8" fillId="0" borderId="33" xfId="1" applyNumberFormat="1" applyFont="1" applyFill="1" applyBorder="1" applyAlignment="1">
      <alignment horizontal="center"/>
    </xf>
    <xf numFmtId="164" fontId="8" fillId="0" borderId="34" xfId="1" applyNumberFormat="1" applyFont="1" applyFill="1" applyBorder="1" applyAlignment="1">
      <alignment horizontal="center"/>
    </xf>
    <xf numFmtId="164" fontId="8" fillId="0" borderId="34" xfId="1" applyNumberFormat="1" applyFont="1" applyFill="1" applyBorder="1"/>
    <xf numFmtId="164" fontId="8" fillId="0" borderId="45" xfId="1" applyNumberFormat="1" applyFont="1" applyFill="1" applyBorder="1"/>
    <xf numFmtId="164" fontId="8" fillId="0" borderId="35" xfId="1" applyNumberFormat="1" applyFont="1" applyFill="1" applyBorder="1"/>
    <xf numFmtId="164" fontId="8" fillId="0" borderId="33" xfId="3" applyNumberFormat="1" applyFont="1" applyFill="1" applyBorder="1"/>
    <xf numFmtId="164" fontId="8" fillId="0" borderId="36" xfId="1" applyNumberFormat="1" applyFont="1" applyFill="1" applyBorder="1"/>
    <xf numFmtId="0" fontId="4" fillId="5" borderId="5" xfId="0" applyFont="1" applyFill="1" applyBorder="1"/>
    <xf numFmtId="0" fontId="4" fillId="5" borderId="8" xfId="0" applyFont="1" applyFill="1" applyBorder="1"/>
    <xf numFmtId="0" fontId="4" fillId="5" borderId="9" xfId="0" applyFont="1" applyFill="1" applyBorder="1"/>
    <xf numFmtId="0" fontId="4" fillId="5" borderId="11" xfId="0" applyFont="1" applyFill="1" applyBorder="1"/>
    <xf numFmtId="0" fontId="7" fillId="5" borderId="11" xfId="0" applyFont="1" applyFill="1" applyBorder="1"/>
    <xf numFmtId="0" fontId="4" fillId="5" borderId="13" xfId="0" applyFont="1" applyFill="1" applyBorder="1"/>
    <xf numFmtId="0" fontId="8" fillId="0" borderId="48" xfId="0" applyFont="1" applyFill="1" applyBorder="1"/>
    <xf numFmtId="0" fontId="8" fillId="0" borderId="19" xfId="0" applyFont="1" applyFill="1" applyBorder="1"/>
    <xf numFmtId="164" fontId="8" fillId="3" borderId="8" xfId="0" applyNumberFormat="1" applyFont="1" applyFill="1" applyBorder="1"/>
    <xf numFmtId="164" fontId="8" fillId="0" borderId="10" xfId="0" applyNumberFormat="1" applyFont="1" applyFill="1" applyBorder="1"/>
    <xf numFmtId="164" fontId="8" fillId="3" borderId="11" xfId="0" applyNumberFormat="1" applyFont="1" applyFill="1" applyBorder="1"/>
    <xf numFmtId="164" fontId="8" fillId="0" borderId="12" xfId="0" applyNumberFormat="1" applyFont="1" applyFill="1" applyBorder="1"/>
    <xf numFmtId="164" fontId="8" fillId="3" borderId="13" xfId="0" applyNumberFormat="1" applyFont="1" applyFill="1" applyBorder="1"/>
    <xf numFmtId="164" fontId="8" fillId="0" borderId="15" xfId="0" applyNumberFormat="1" applyFont="1" applyFill="1" applyBorder="1"/>
    <xf numFmtId="164" fontId="8" fillId="0" borderId="8" xfId="0" applyNumberFormat="1" applyFont="1" applyFill="1" applyBorder="1"/>
    <xf numFmtId="164" fontId="8" fillId="0" borderId="11" xfId="0" applyNumberFormat="1" applyFont="1" applyFill="1" applyBorder="1"/>
    <xf numFmtId="164" fontId="8" fillId="0" borderId="13" xfId="0" applyNumberFormat="1" applyFont="1" applyFill="1" applyBorder="1"/>
    <xf numFmtId="0" fontId="4" fillId="5" borderId="5" xfId="0" quotePrefix="1" applyFont="1" applyFill="1" applyBorder="1"/>
    <xf numFmtId="43" fontId="7" fillId="16" borderId="5" xfId="1" applyFont="1" applyFill="1" applyBorder="1" applyAlignment="1">
      <alignment horizontal="left"/>
    </xf>
    <xf numFmtId="43" fontId="7" fillId="16" borderId="5" xfId="1" applyFont="1" applyFill="1" applyBorder="1"/>
    <xf numFmtId="0" fontId="13" fillId="11" borderId="37" xfId="0" applyFont="1" applyFill="1" applyBorder="1" applyAlignment="1">
      <alignment horizontal="center" vertical="center"/>
    </xf>
    <xf numFmtId="0" fontId="4" fillId="18" borderId="2" xfId="0" applyFont="1" applyFill="1" applyBorder="1" applyAlignment="1">
      <alignment horizontal="center" vertical="center" wrapText="1"/>
    </xf>
    <xf numFmtId="43" fontId="18" fillId="16" borderId="8" xfId="1" applyFont="1" applyFill="1" applyBorder="1" applyAlignment="1">
      <alignment horizontal="left"/>
    </xf>
    <xf numFmtId="43" fontId="18" fillId="16" borderId="11" xfId="1" applyFont="1" applyFill="1" applyBorder="1" applyAlignment="1">
      <alignment horizontal="left"/>
    </xf>
    <xf numFmtId="43" fontId="18" fillId="16" borderId="11" xfId="1" applyFont="1" applyFill="1" applyBorder="1"/>
    <xf numFmtId="43" fontId="18" fillId="16" borderId="5" xfId="1" applyFont="1" applyFill="1" applyBorder="1"/>
    <xf numFmtId="43" fontId="18" fillId="16" borderId="28" xfId="1" applyFont="1" applyFill="1" applyBorder="1"/>
    <xf numFmtId="43" fontId="18" fillId="16" borderId="13" xfId="1" applyFont="1" applyFill="1" applyBorder="1"/>
    <xf numFmtId="43" fontId="19" fillId="0" borderId="0" xfId="1" applyFont="1" applyFill="1" applyBorder="1"/>
    <xf numFmtId="43" fontId="18" fillId="0" borderId="9" xfId="1" applyFont="1" applyFill="1" applyBorder="1"/>
    <xf numFmtId="43" fontId="18" fillId="0" borderId="5" xfId="1" applyFont="1" applyFill="1" applyBorder="1"/>
    <xf numFmtId="43" fontId="18" fillId="0" borderId="14" xfId="1" applyFont="1" applyFill="1" applyBorder="1"/>
    <xf numFmtId="0" fontId="20" fillId="0" borderId="0" xfId="0" applyFont="1" applyFill="1" applyBorder="1"/>
    <xf numFmtId="0" fontId="3" fillId="0" borderId="0" xfId="0" applyFont="1" applyFill="1" applyBorder="1" applyAlignment="1"/>
    <xf numFmtId="0" fontId="9" fillId="14" borderId="50" xfId="0" applyFont="1" applyFill="1" applyBorder="1" applyAlignment="1">
      <alignment horizontal="center" vertical="center" wrapText="1"/>
    </xf>
    <xf numFmtId="164" fontId="9" fillId="14" borderId="51" xfId="0" applyNumberFormat="1" applyFont="1" applyFill="1" applyBorder="1" applyAlignment="1">
      <alignment horizontal="center" vertical="center" wrapText="1"/>
    </xf>
    <xf numFmtId="0" fontId="9" fillId="14" borderId="52" xfId="0" applyFont="1" applyFill="1" applyBorder="1" applyAlignment="1">
      <alignment horizontal="center" vertical="center" wrapText="1"/>
    </xf>
    <xf numFmtId="0" fontId="9" fillId="14" borderId="54" xfId="0" applyFont="1" applyFill="1" applyBorder="1" applyAlignment="1">
      <alignment horizontal="center" vertical="center" wrapText="1"/>
    </xf>
    <xf numFmtId="164" fontId="9" fillId="14" borderId="55" xfId="0" applyNumberFormat="1" applyFont="1" applyFill="1" applyBorder="1" applyAlignment="1">
      <alignment horizontal="center" vertical="center" wrapText="1"/>
    </xf>
    <xf numFmtId="43" fontId="4" fillId="16" borderId="49" xfId="1" applyFont="1" applyFill="1" applyBorder="1"/>
    <xf numFmtId="43" fontId="8" fillId="0" borderId="0" xfId="1" applyFont="1" applyFill="1" applyBorder="1" applyAlignment="1">
      <alignment horizontal="center"/>
    </xf>
    <xf numFmtId="43" fontId="21" fillId="0" borderId="0" xfId="1" applyFont="1" applyFill="1" applyBorder="1" applyAlignment="1">
      <alignment horizontal="center"/>
    </xf>
    <xf numFmtId="43" fontId="21" fillId="0" borderId="0" xfId="1" applyFont="1" applyFill="1" applyBorder="1"/>
    <xf numFmtId="0" fontId="22" fillId="0" borderId="0" xfId="0" applyFont="1" applyFill="1" applyBorder="1"/>
    <xf numFmtId="164" fontId="23" fillId="14" borderId="53" xfId="0" applyNumberFormat="1" applyFont="1" applyFill="1" applyBorder="1" applyAlignment="1">
      <alignment horizontal="center" vertical="center" wrapText="1"/>
    </xf>
    <xf numFmtId="43" fontId="4" fillId="14" borderId="5" xfId="1" applyFont="1" applyFill="1" applyBorder="1"/>
    <xf numFmtId="0" fontId="9" fillId="19" borderId="2" xfId="0" applyFont="1" applyFill="1" applyBorder="1" applyAlignment="1">
      <alignment horizontal="center" vertical="center" wrapText="1"/>
    </xf>
    <xf numFmtId="164" fontId="8" fillId="19" borderId="2" xfId="0" applyNumberFormat="1" applyFont="1" applyFill="1" applyBorder="1"/>
    <xf numFmtId="164" fontId="9" fillId="19" borderId="2" xfId="0" applyNumberFormat="1" applyFont="1" applyFill="1" applyBorder="1"/>
    <xf numFmtId="164" fontId="8" fillId="19" borderId="4" xfId="0" applyNumberFormat="1" applyFont="1" applyFill="1" applyBorder="1"/>
    <xf numFmtId="164" fontId="8" fillId="19" borderId="1" xfId="0" applyNumberFormat="1" applyFont="1" applyFill="1" applyBorder="1"/>
    <xf numFmtId="164" fontId="8" fillId="19" borderId="3" xfId="0" applyNumberFormat="1" applyFont="1" applyFill="1" applyBorder="1"/>
    <xf numFmtId="0" fontId="13" fillId="11" borderId="37" xfId="0" applyFont="1" applyFill="1" applyBorder="1" applyAlignment="1">
      <alignment horizontal="center" vertical="center"/>
    </xf>
    <xf numFmtId="0" fontId="13" fillId="14" borderId="37" xfId="0" applyFont="1" applyFill="1" applyBorder="1" applyAlignment="1">
      <alignment horizontal="center"/>
    </xf>
    <xf numFmtId="0" fontId="9" fillId="0" borderId="37" xfId="0" applyFont="1" applyFill="1" applyBorder="1" applyAlignment="1">
      <alignment horizontal="center"/>
    </xf>
  </cellXfs>
  <cellStyles count="5">
    <cellStyle name="Migliaia" xfId="1" builtinId="3"/>
    <cellStyle name="Migliaia 2" xfId="3" xr:uid="{28957A36-5ADF-524F-9268-4502FDFF3EFA}"/>
    <cellStyle name="Normale" xfId="0" builtinId="0"/>
    <cellStyle name="Normale 2" xfId="2" xr:uid="{BCCF77F4-911C-D249-9301-5F4D98EE504A}"/>
    <cellStyle name="Normale 3" xfId="4" xr:uid="{E5939883-1FE5-0F4A-8B4E-795A524691B4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8FF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hyperlink" Target="mailto:%5e@NORD%20CONSORZIO%20FRA%20COOPERATIVE%20SOCIAL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917EE-675E-ED4A-A588-7A12DDA3651A}">
  <sheetPr>
    <tabColor rgb="FFFF0000"/>
    <pageSetUpPr fitToPage="1"/>
  </sheetPr>
  <dimension ref="A1:FH60"/>
  <sheetViews>
    <sheetView tabSelected="1" topLeftCell="B20" zoomScale="60" zoomScaleNormal="60" zoomScaleSheetLayoutView="64" workbookViewId="0">
      <pane xSplit="2" topLeftCell="D1" activePane="topRight" state="frozen"/>
      <selection activeCell="B1" sqref="B1"/>
      <selection pane="topRight" activeCell="P2" sqref="P2"/>
    </sheetView>
  </sheetViews>
  <sheetFormatPr baseColWidth="10" defaultColWidth="9.1640625" defaultRowHeight="25" x14ac:dyDescent="0.25"/>
  <cols>
    <col min="1" max="1" width="13" style="1" hidden="1" customWidth="1"/>
    <col min="2" max="2" width="13" style="1" customWidth="1"/>
    <col min="3" max="3" width="81.83203125" style="1" bestFit="1" customWidth="1"/>
    <col min="4" max="4" width="38" style="1" customWidth="1"/>
    <col min="5" max="5" width="39.83203125" style="1" customWidth="1"/>
    <col min="6" max="7" width="38.83203125" style="1" customWidth="1"/>
    <col min="8" max="10" width="31" style="3" customWidth="1"/>
    <col min="11" max="12" width="29" style="1" customWidth="1"/>
    <col min="13" max="13" width="31" style="3" customWidth="1"/>
    <col min="14" max="16" width="29" style="1" customWidth="1"/>
    <col min="17" max="17" width="11.5" style="1" customWidth="1"/>
    <col min="18" max="18" width="27.83203125" style="1" customWidth="1"/>
    <col min="19" max="19" width="22.83203125" style="1" customWidth="1"/>
    <col min="20" max="20" width="23.33203125" style="1" hidden="1" customWidth="1"/>
    <col min="21" max="21" width="14.5" style="1" hidden="1" customWidth="1"/>
    <col min="22" max="22" width="15.6640625" style="1" hidden="1" customWidth="1"/>
    <col min="23" max="23" width="14" style="1" hidden="1" customWidth="1"/>
    <col min="24" max="24" width="14.5" style="1" hidden="1" customWidth="1"/>
    <col min="25" max="25" width="3.33203125" style="1" hidden="1" customWidth="1"/>
    <col min="26" max="26" width="11.5" style="1" customWidth="1"/>
    <col min="27" max="30" width="23.1640625" style="1" customWidth="1"/>
    <col min="31" max="31" width="23.5" style="1" customWidth="1"/>
    <col min="32" max="33" width="23.1640625" style="1" customWidth="1"/>
    <col min="34" max="34" width="23.33203125" style="1" bestFit="1" customWidth="1"/>
    <col min="35" max="36" width="23.1640625" style="1" customWidth="1"/>
    <col min="37" max="37" width="23.33203125" style="1" bestFit="1" customWidth="1"/>
    <col min="38" max="38" width="11.5" style="1" customWidth="1"/>
    <col min="39" max="39" width="26.33203125" style="1" customWidth="1"/>
    <col min="40" max="40" width="11.5" style="1" customWidth="1"/>
    <col min="41" max="41" width="31.5" style="1" customWidth="1"/>
    <col min="42" max="43" width="11.5" style="1" customWidth="1"/>
    <col min="44" max="44" width="23.33203125" style="41" bestFit="1" customWidth="1"/>
    <col min="45" max="46" width="23.33203125" style="41" customWidth="1"/>
    <col min="47" max="47" width="23.33203125" style="41" bestFit="1" customWidth="1"/>
    <col min="48" max="48" width="11.5" style="1" customWidth="1"/>
    <col min="49" max="49" width="27.6640625" style="41" customWidth="1"/>
    <col min="50" max="50" width="28.1640625" style="41" customWidth="1"/>
    <col min="51" max="51" width="11.5" style="1" customWidth="1"/>
    <col min="52" max="52" width="9.1640625" style="1"/>
    <col min="53" max="54" width="41" style="41" customWidth="1"/>
    <col min="55" max="55" width="45.83203125" style="1" customWidth="1"/>
    <col min="56" max="58" width="9.1640625" style="1"/>
    <col min="59" max="59" width="22.1640625" style="1" customWidth="1"/>
    <col min="60" max="16384" width="9.1640625" style="1"/>
  </cols>
  <sheetData>
    <row r="1" spans="1:164" ht="26" thickBot="1" x14ac:dyDescent="0.3">
      <c r="E1" s="262" t="s">
        <v>47</v>
      </c>
      <c r="F1" s="262"/>
      <c r="G1" s="262"/>
      <c r="H1" s="262"/>
      <c r="I1" s="262"/>
      <c r="J1" s="183"/>
      <c r="K1" s="262"/>
      <c r="L1" s="262"/>
      <c r="M1" s="184"/>
      <c r="N1" s="110"/>
      <c r="O1" s="110"/>
      <c r="P1" s="184"/>
      <c r="Q1" s="185"/>
      <c r="R1" s="185"/>
      <c r="S1" s="185"/>
      <c r="AA1" s="261" t="s">
        <v>57</v>
      </c>
      <c r="AB1" s="261"/>
      <c r="AC1" s="261"/>
      <c r="AD1" s="261"/>
      <c r="AE1" s="261"/>
      <c r="AF1" s="261"/>
      <c r="AG1" s="261"/>
      <c r="AH1" s="261"/>
      <c r="AI1" s="229"/>
      <c r="AJ1" s="229"/>
      <c r="AK1" s="229"/>
      <c r="AL1" s="261"/>
      <c r="AM1" s="261"/>
      <c r="AR1" s="263" t="s">
        <v>97</v>
      </c>
      <c r="AS1" s="263"/>
      <c r="AT1" s="263"/>
      <c r="AU1" s="263"/>
    </row>
    <row r="2" spans="1:164" ht="127" customHeight="1" thickBot="1" x14ac:dyDescent="0.5">
      <c r="B2" s="105" t="s">
        <v>51</v>
      </c>
      <c r="C2" s="4" t="s">
        <v>32</v>
      </c>
      <c r="D2" s="4" t="s">
        <v>68</v>
      </c>
      <c r="E2" s="171" t="s">
        <v>118</v>
      </c>
      <c r="F2" s="171" t="s">
        <v>119</v>
      </c>
      <c r="G2" s="171" t="s">
        <v>115</v>
      </c>
      <c r="H2" s="171" t="s">
        <v>120</v>
      </c>
      <c r="I2" s="171" t="s">
        <v>121</v>
      </c>
      <c r="J2" s="95" t="s">
        <v>122</v>
      </c>
      <c r="K2" s="97" t="s">
        <v>123</v>
      </c>
      <c r="L2" s="97" t="s">
        <v>124</v>
      </c>
      <c r="M2" s="95" t="s">
        <v>125</v>
      </c>
      <c r="N2" s="97" t="s">
        <v>126</v>
      </c>
      <c r="O2" s="97" t="s">
        <v>127</v>
      </c>
      <c r="P2" s="95" t="s">
        <v>33</v>
      </c>
      <c r="R2" s="86" t="s">
        <v>96</v>
      </c>
      <c r="S2" s="86" t="s">
        <v>41</v>
      </c>
      <c r="T2" s="32" t="s">
        <v>38</v>
      </c>
      <c r="U2" s="32">
        <v>2017</v>
      </c>
      <c r="V2" s="32">
        <v>2018</v>
      </c>
      <c r="W2" s="32">
        <v>2019</v>
      </c>
      <c r="X2" s="32">
        <v>2020</v>
      </c>
      <c r="Y2" s="32">
        <v>2021</v>
      </c>
      <c r="AA2" s="98" t="s">
        <v>45</v>
      </c>
      <c r="AB2" s="98" t="s">
        <v>46</v>
      </c>
      <c r="AC2" s="97" t="s">
        <v>36</v>
      </c>
      <c r="AD2" s="97" t="s">
        <v>48</v>
      </c>
      <c r="AE2" s="97" t="s">
        <v>49</v>
      </c>
      <c r="AF2" s="87" t="s">
        <v>39</v>
      </c>
      <c r="AG2" s="87" t="s">
        <v>93</v>
      </c>
      <c r="AH2" s="87" t="s">
        <v>50</v>
      </c>
      <c r="AI2" s="230" t="s">
        <v>107</v>
      </c>
      <c r="AJ2" s="230" t="s">
        <v>113</v>
      </c>
      <c r="AK2" s="230" t="s">
        <v>108</v>
      </c>
      <c r="AM2" s="86" t="s">
        <v>40</v>
      </c>
      <c r="AO2" s="86" t="s">
        <v>42</v>
      </c>
      <c r="AR2" s="187" t="s">
        <v>95</v>
      </c>
      <c r="AS2" s="187" t="s">
        <v>109</v>
      </c>
      <c r="AT2" s="255" t="s">
        <v>117</v>
      </c>
      <c r="AU2" s="104" t="s">
        <v>98</v>
      </c>
      <c r="AW2" s="98" t="s">
        <v>52</v>
      </c>
      <c r="AX2" s="98" t="s">
        <v>53</v>
      </c>
      <c r="BA2" s="188" t="s">
        <v>94</v>
      </c>
      <c r="BB2" s="188" t="s">
        <v>92</v>
      </c>
      <c r="BC2" s="188" t="s">
        <v>110</v>
      </c>
    </row>
    <row r="3" spans="1:164" ht="21" thickBot="1" x14ac:dyDescent="0.25">
      <c r="C3" s="11" t="s">
        <v>54</v>
      </c>
      <c r="D3" s="11"/>
      <c r="AR3" s="1"/>
      <c r="AS3" s="1"/>
      <c r="AT3" s="1"/>
      <c r="AU3" s="1"/>
      <c r="AW3" s="1"/>
      <c r="AX3" s="1"/>
      <c r="BA3" s="1"/>
      <c r="BB3" s="1"/>
    </row>
    <row r="4" spans="1:164" s="5" customFormat="1" x14ac:dyDescent="0.25">
      <c r="A4" s="25"/>
      <c r="B4" s="117"/>
      <c r="C4" s="27" t="s">
        <v>12</v>
      </c>
      <c r="D4" s="165" t="s">
        <v>58</v>
      </c>
      <c r="E4" s="231"/>
      <c r="F4" s="107"/>
      <c r="G4" s="130"/>
      <c r="H4" s="131"/>
      <c r="I4" s="131"/>
      <c r="J4" s="174">
        <v>2745</v>
      </c>
      <c r="K4" s="132"/>
      <c r="L4" s="133"/>
      <c r="M4" s="174"/>
      <c r="N4" s="133"/>
      <c r="O4" s="248">
        <v>5302</v>
      </c>
      <c r="P4" s="134"/>
      <c r="Q4" s="2"/>
      <c r="R4" s="47">
        <f>+E4+F4+H4+I4+K4+L4+N4+O4</f>
        <v>5302</v>
      </c>
      <c r="S4" s="47">
        <f t="shared" ref="S4:S16" si="0">SUM(E4:P4)</f>
        <v>8047</v>
      </c>
      <c r="T4" s="33"/>
      <c r="U4" s="34"/>
      <c r="V4" s="34"/>
      <c r="W4" s="34"/>
      <c r="X4" s="34"/>
      <c r="Y4" s="63">
        <v>2</v>
      </c>
      <c r="Z4" s="2"/>
      <c r="AA4" s="202"/>
      <c r="AB4" s="53"/>
      <c r="AC4" s="53"/>
      <c r="AD4" s="53"/>
      <c r="AE4" s="52"/>
      <c r="AF4" s="52"/>
      <c r="AG4" s="53"/>
      <c r="AH4" s="66">
        <f>25901.86+74078.45</f>
        <v>99980.31</v>
      </c>
      <c r="AI4" s="52"/>
      <c r="AJ4" s="53"/>
      <c r="AK4" s="66"/>
      <c r="AL4" s="46"/>
      <c r="AM4" s="47">
        <f>SUM(AA4:AK4)</f>
        <v>99980.31</v>
      </c>
      <c r="AN4" s="2"/>
      <c r="AO4" s="47">
        <f>+AM4+S4</f>
        <v>108027.31</v>
      </c>
      <c r="AP4" s="2"/>
      <c r="AQ4" s="2"/>
      <c r="AR4" s="192">
        <f>+AA4+AC4+AF4</f>
        <v>0</v>
      </c>
      <c r="AS4" s="192">
        <f>+AC4+AF4+AI4</f>
        <v>0</v>
      </c>
      <c r="AT4" s="258">
        <f>+AD4+AE4+AG4+AH4</f>
        <v>99980.31</v>
      </c>
      <c r="AU4" s="99">
        <f>+AD4+AE4+AH4+AG4+AJ4+AK4</f>
        <v>99980.31</v>
      </c>
      <c r="AV4" s="2"/>
      <c r="AW4" s="99">
        <f>36377.5+1050000+54566.25+54566.25</f>
        <v>1195510</v>
      </c>
      <c r="AX4" s="99">
        <f>3000000</f>
        <v>3000000</v>
      </c>
      <c r="AY4" s="2"/>
      <c r="AZ4" s="2"/>
      <c r="BA4" s="99">
        <f>+E4+F4+H4+I4+AD4+AE4</f>
        <v>0</v>
      </c>
      <c r="BB4" s="99">
        <f>+BA4+K4+L4+N4+O4+AH4+AG4</f>
        <v>105282.31</v>
      </c>
      <c r="BC4" s="99">
        <f>+BB4+AJ4+AK4</f>
        <v>105282.31</v>
      </c>
      <c r="BD4" s="2"/>
      <c r="BE4" s="2"/>
      <c r="BF4" s="2"/>
      <c r="BG4" s="249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</row>
    <row r="5" spans="1:164" s="5" customFormat="1" ht="28" x14ac:dyDescent="0.3">
      <c r="A5" s="25"/>
      <c r="B5" s="118"/>
      <c r="C5" s="28" t="s">
        <v>11</v>
      </c>
      <c r="D5" s="166">
        <v>2062060302</v>
      </c>
      <c r="E5" s="232">
        <v>9160</v>
      </c>
      <c r="F5" s="107">
        <v>10548</v>
      </c>
      <c r="G5" s="135"/>
      <c r="H5" s="136"/>
      <c r="I5" s="136"/>
      <c r="J5" s="175"/>
      <c r="K5" s="137"/>
      <c r="L5" s="138"/>
      <c r="M5" s="175"/>
      <c r="N5" s="138"/>
      <c r="O5" s="150">
        <v>20741</v>
      </c>
      <c r="P5" s="139"/>
      <c r="Q5" s="2"/>
      <c r="R5" s="48">
        <f t="shared" ref="R5:R45" si="1">+E5+F5+H5+I5+K5+L5+N5+O5</f>
        <v>40449</v>
      </c>
      <c r="S5" s="48">
        <f t="shared" si="0"/>
        <v>40449</v>
      </c>
      <c r="T5" s="35"/>
      <c r="U5" s="36"/>
      <c r="V5" s="36"/>
      <c r="W5" s="36"/>
      <c r="X5" s="36"/>
      <c r="Y5" s="64">
        <v>1</v>
      </c>
      <c r="Z5" s="2"/>
      <c r="AA5" s="203"/>
      <c r="AB5" s="45"/>
      <c r="AC5" s="45"/>
      <c r="AD5" s="45"/>
      <c r="AE5" s="44"/>
      <c r="AF5" s="44"/>
      <c r="AG5" s="45"/>
      <c r="AH5" s="67">
        <v>41329.199999999997</v>
      </c>
      <c r="AI5" s="44"/>
      <c r="AJ5" s="45"/>
      <c r="AK5" s="67"/>
      <c r="AL5" s="46"/>
      <c r="AM5" s="48">
        <f t="shared" ref="AM5:AM16" si="2">SUM(AA5:AK5)</f>
        <v>41329.199999999997</v>
      </c>
      <c r="AN5" s="2"/>
      <c r="AO5" s="48">
        <f t="shared" ref="AO5:AO16" si="3">+AM5+S5</f>
        <v>81778.2</v>
      </c>
      <c r="AP5" s="2"/>
      <c r="AQ5" s="2"/>
      <c r="AR5" s="193">
        <f t="shared" ref="AR5:AR16" si="4">+AA5+AC5+AF5</f>
        <v>0</v>
      </c>
      <c r="AS5" s="193">
        <f t="shared" ref="AS5:AT48" si="5">+AC5+AF5+AI5</f>
        <v>0</v>
      </c>
      <c r="AT5" s="259">
        <f t="shared" ref="AT5:AT45" si="6">+AD5+AE5+AG5+AH5</f>
        <v>41329.199999999997</v>
      </c>
      <c r="AU5" s="100">
        <f t="shared" ref="AU5:AU16" si="7">+AD5+AE5+AH5+AG5+AJ5+AK5</f>
        <v>41329.199999999997</v>
      </c>
      <c r="AV5" s="2"/>
      <c r="AW5" s="100"/>
      <c r="AX5" s="100"/>
      <c r="AY5" s="2"/>
      <c r="AZ5" s="2"/>
      <c r="BA5" s="100">
        <f t="shared" ref="BA5:BA25" si="8">+E5+F5+H5+I5+AD5+AE5</f>
        <v>19708</v>
      </c>
      <c r="BB5" s="100">
        <f t="shared" ref="BB5:BB45" si="9">+BA5+K5+L5+N5+O5+AH5+AG5</f>
        <v>81778.2</v>
      </c>
      <c r="BC5" s="100">
        <f t="shared" ref="BC5:BC45" si="10">+BB5+AJ5+AK5</f>
        <v>81778.2</v>
      </c>
      <c r="BD5" s="2"/>
      <c r="BE5" s="2"/>
      <c r="BF5" s="2"/>
      <c r="BG5" s="250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</row>
    <row r="6" spans="1:164" s="10" customFormat="1" ht="28" x14ac:dyDescent="0.3">
      <c r="A6" s="25"/>
      <c r="B6" s="118"/>
      <c r="C6" s="28" t="s">
        <v>0</v>
      </c>
      <c r="D6" s="166" t="s">
        <v>59</v>
      </c>
      <c r="E6" s="232">
        <v>994</v>
      </c>
      <c r="F6" s="107"/>
      <c r="G6" s="227"/>
      <c r="H6" s="140"/>
      <c r="I6" s="140"/>
      <c r="J6" s="176"/>
      <c r="K6" s="140"/>
      <c r="L6" s="141"/>
      <c r="M6" s="176"/>
      <c r="N6" s="141"/>
      <c r="O6" s="140"/>
      <c r="P6" s="142"/>
      <c r="Q6" s="1"/>
      <c r="R6" s="71">
        <f t="shared" si="1"/>
        <v>994</v>
      </c>
      <c r="S6" s="71">
        <f t="shared" si="0"/>
        <v>994</v>
      </c>
      <c r="T6" s="37"/>
      <c r="U6" s="38"/>
      <c r="V6" s="38"/>
      <c r="W6" s="38"/>
      <c r="X6" s="38"/>
      <c r="Y6" s="64"/>
      <c r="Z6" s="1"/>
      <c r="AA6" s="204"/>
      <c r="AB6" s="50"/>
      <c r="AC6" s="50"/>
      <c r="AD6" s="50"/>
      <c r="AE6" s="49"/>
      <c r="AF6" s="49"/>
      <c r="AG6" s="50"/>
      <c r="AH6" s="68"/>
      <c r="AI6" s="49"/>
      <c r="AJ6" s="50"/>
      <c r="AK6" s="68"/>
      <c r="AL6" s="51"/>
      <c r="AM6" s="48">
        <f t="shared" si="2"/>
        <v>0</v>
      </c>
      <c r="AN6" s="1"/>
      <c r="AO6" s="48">
        <f t="shared" si="3"/>
        <v>994</v>
      </c>
      <c r="AP6" s="1"/>
      <c r="AQ6" s="1"/>
      <c r="AR6" s="193">
        <f t="shared" si="4"/>
        <v>0</v>
      </c>
      <c r="AS6" s="193">
        <f t="shared" si="5"/>
        <v>0</v>
      </c>
      <c r="AT6" s="259">
        <f t="shared" si="6"/>
        <v>0</v>
      </c>
      <c r="AU6" s="100">
        <f t="shared" si="7"/>
        <v>0</v>
      </c>
      <c r="AV6" s="1"/>
      <c r="AW6" s="100"/>
      <c r="AX6" s="100"/>
      <c r="AY6" s="1"/>
      <c r="AZ6" s="1"/>
      <c r="BA6" s="100">
        <f t="shared" si="8"/>
        <v>994</v>
      </c>
      <c r="BB6" s="100">
        <f t="shared" si="9"/>
        <v>994</v>
      </c>
      <c r="BC6" s="100">
        <f t="shared" si="10"/>
        <v>994</v>
      </c>
      <c r="BD6" s="1"/>
      <c r="BE6" s="1"/>
      <c r="BF6" s="1"/>
      <c r="BG6" s="25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</row>
    <row r="7" spans="1:164" s="10" customFormat="1" x14ac:dyDescent="0.25">
      <c r="A7" s="25"/>
      <c r="B7" s="118"/>
      <c r="C7" s="29" t="s">
        <v>10</v>
      </c>
      <c r="D7" s="166" t="s">
        <v>60</v>
      </c>
      <c r="E7" s="232">
        <v>255</v>
      </c>
      <c r="F7" s="107">
        <v>127.5</v>
      </c>
      <c r="G7" s="228"/>
      <c r="H7" s="144">
        <v>2000</v>
      </c>
      <c r="I7" s="140"/>
      <c r="J7" s="176"/>
      <c r="K7" s="144"/>
      <c r="L7" s="145"/>
      <c r="M7" s="176"/>
      <c r="N7" s="145"/>
      <c r="O7" s="144"/>
      <c r="P7" s="146"/>
      <c r="Q7" s="1"/>
      <c r="R7" s="71">
        <f t="shared" si="1"/>
        <v>2382.5</v>
      </c>
      <c r="S7" s="71">
        <f t="shared" si="0"/>
        <v>2382.5</v>
      </c>
      <c r="T7" s="37"/>
      <c r="U7" s="38"/>
      <c r="V7" s="38"/>
      <c r="W7" s="38"/>
      <c r="X7" s="38"/>
      <c r="Y7" s="64"/>
      <c r="Z7" s="1"/>
      <c r="AA7" s="204"/>
      <c r="AB7" s="50"/>
      <c r="AC7" s="50"/>
      <c r="AD7" s="50"/>
      <c r="AE7" s="49"/>
      <c r="AF7" s="49"/>
      <c r="AG7" s="50"/>
      <c r="AH7" s="68"/>
      <c r="AI7" s="49"/>
      <c r="AJ7" s="50"/>
      <c r="AK7" s="68"/>
      <c r="AL7" s="51"/>
      <c r="AM7" s="48">
        <f t="shared" si="2"/>
        <v>0</v>
      </c>
      <c r="AN7" s="1"/>
      <c r="AO7" s="48">
        <f t="shared" si="3"/>
        <v>2382.5</v>
      </c>
      <c r="AP7" s="1"/>
      <c r="AQ7" s="1"/>
      <c r="AR7" s="193">
        <f t="shared" si="4"/>
        <v>0</v>
      </c>
      <c r="AS7" s="193">
        <f>+AC7+AF7+AI7</f>
        <v>0</v>
      </c>
      <c r="AT7" s="259">
        <f t="shared" si="6"/>
        <v>0</v>
      </c>
      <c r="AU7" s="100">
        <f t="shared" si="7"/>
        <v>0</v>
      </c>
      <c r="AV7" s="1"/>
      <c r="AW7" s="100"/>
      <c r="AX7" s="100"/>
      <c r="AY7" s="1"/>
      <c r="AZ7" s="1"/>
      <c r="BA7" s="100">
        <f t="shared" si="8"/>
        <v>2382.5</v>
      </c>
      <c r="BB7" s="100">
        <f t="shared" si="9"/>
        <v>2382.5</v>
      </c>
      <c r="BC7" s="100">
        <f t="shared" si="10"/>
        <v>2382.5</v>
      </c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</row>
    <row r="8" spans="1:164" s="10" customFormat="1" x14ac:dyDescent="0.25">
      <c r="A8" s="25"/>
      <c r="B8" s="118"/>
      <c r="C8" s="29" t="s">
        <v>13</v>
      </c>
      <c r="D8" s="166" t="s">
        <v>61</v>
      </c>
      <c r="E8" s="233"/>
      <c r="F8" s="107"/>
      <c r="G8" s="143"/>
      <c r="H8" s="144">
        <v>2835</v>
      </c>
      <c r="I8" s="144">
        <v>1800</v>
      </c>
      <c r="J8" s="177">
        <v>220</v>
      </c>
      <c r="K8" s="144"/>
      <c r="L8" s="145"/>
      <c r="M8" s="177"/>
      <c r="N8" s="145"/>
      <c r="O8" s="144"/>
      <c r="P8" s="146"/>
      <c r="Q8" s="1"/>
      <c r="R8" s="71">
        <f t="shared" si="1"/>
        <v>4635</v>
      </c>
      <c r="S8" s="71">
        <f t="shared" si="0"/>
        <v>4855</v>
      </c>
      <c r="T8" s="37"/>
      <c r="U8" s="38"/>
      <c r="V8" s="38"/>
      <c r="W8" s="38"/>
      <c r="X8" s="38">
        <v>1</v>
      </c>
      <c r="Y8" s="64"/>
      <c r="Z8" s="1"/>
      <c r="AA8" s="204"/>
      <c r="AB8" s="50"/>
      <c r="AC8" s="50"/>
      <c r="AD8" s="50"/>
      <c r="AE8" s="49">
        <v>30000</v>
      </c>
      <c r="AF8" s="49"/>
      <c r="AG8" s="50"/>
      <c r="AH8" s="68"/>
      <c r="AI8" s="49"/>
      <c r="AJ8" s="50"/>
      <c r="AK8" s="68"/>
      <c r="AL8" s="51"/>
      <c r="AM8" s="48">
        <f t="shared" si="2"/>
        <v>30000</v>
      </c>
      <c r="AN8" s="1"/>
      <c r="AO8" s="48">
        <f t="shared" si="3"/>
        <v>34855</v>
      </c>
      <c r="AP8" s="1"/>
      <c r="AQ8" s="1"/>
      <c r="AR8" s="193">
        <f t="shared" si="4"/>
        <v>0</v>
      </c>
      <c r="AS8" s="193">
        <f t="shared" si="5"/>
        <v>0</v>
      </c>
      <c r="AT8" s="259">
        <f t="shared" si="6"/>
        <v>30000</v>
      </c>
      <c r="AU8" s="100">
        <f t="shared" si="7"/>
        <v>30000</v>
      </c>
      <c r="AV8" s="1"/>
      <c r="AW8" s="100"/>
      <c r="AX8" s="100"/>
      <c r="AY8" s="1"/>
      <c r="AZ8" s="1"/>
      <c r="BA8" s="100">
        <f t="shared" si="8"/>
        <v>34635</v>
      </c>
      <c r="BB8" s="100">
        <f t="shared" si="9"/>
        <v>34635</v>
      </c>
      <c r="BC8" s="100">
        <f t="shared" si="10"/>
        <v>34635</v>
      </c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</row>
    <row r="9" spans="1:164" s="10" customFormat="1" x14ac:dyDescent="0.25">
      <c r="A9" s="25"/>
      <c r="B9" s="118"/>
      <c r="C9" s="29" t="s">
        <v>9</v>
      </c>
      <c r="D9" s="166">
        <v>10002660966</v>
      </c>
      <c r="E9" s="233"/>
      <c r="F9" s="107"/>
      <c r="G9" s="143"/>
      <c r="H9" s="140"/>
      <c r="I9" s="144">
        <v>3886.84</v>
      </c>
      <c r="J9" s="176"/>
      <c r="K9" s="144"/>
      <c r="L9" s="145"/>
      <c r="M9" s="176"/>
      <c r="N9" s="145"/>
      <c r="O9" s="144">
        <v>17051</v>
      </c>
      <c r="P9" s="146"/>
      <c r="Q9" s="1"/>
      <c r="R9" s="71">
        <f t="shared" si="1"/>
        <v>20937.84</v>
      </c>
      <c r="S9" s="71">
        <f t="shared" si="0"/>
        <v>20937.84</v>
      </c>
      <c r="T9" s="37"/>
      <c r="U9" s="38"/>
      <c r="V9" s="38"/>
      <c r="W9" s="38"/>
      <c r="X9" s="38"/>
      <c r="Y9" s="64"/>
      <c r="Z9" s="1"/>
      <c r="AA9" s="204"/>
      <c r="AB9" s="50"/>
      <c r="AC9" s="50"/>
      <c r="AD9" s="50"/>
      <c r="AE9" s="49"/>
      <c r="AF9" s="49"/>
      <c r="AG9" s="50"/>
      <c r="AH9" s="68"/>
      <c r="AI9" s="49"/>
      <c r="AJ9" s="50"/>
      <c r="AK9" s="68"/>
      <c r="AL9" s="51"/>
      <c r="AM9" s="48">
        <f t="shared" si="2"/>
        <v>0</v>
      </c>
      <c r="AN9" s="1"/>
      <c r="AO9" s="48">
        <f t="shared" si="3"/>
        <v>20937.84</v>
      </c>
      <c r="AP9" s="1"/>
      <c r="AQ9" s="1"/>
      <c r="AR9" s="193">
        <f t="shared" si="4"/>
        <v>0</v>
      </c>
      <c r="AS9" s="193">
        <f t="shared" si="5"/>
        <v>0</v>
      </c>
      <c r="AT9" s="259">
        <f t="shared" si="6"/>
        <v>0</v>
      </c>
      <c r="AU9" s="100">
        <f t="shared" si="7"/>
        <v>0</v>
      </c>
      <c r="AV9" s="1"/>
      <c r="AW9" s="100"/>
      <c r="AX9" s="100"/>
      <c r="AY9" s="1"/>
      <c r="AZ9" s="1"/>
      <c r="BA9" s="100">
        <f t="shared" si="8"/>
        <v>3886.84</v>
      </c>
      <c r="BB9" s="100">
        <f t="shared" si="9"/>
        <v>20937.84</v>
      </c>
      <c r="BC9" s="100">
        <f t="shared" si="10"/>
        <v>20937.84</v>
      </c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</row>
    <row r="10" spans="1:164" s="10" customFormat="1" ht="21" customHeight="1" x14ac:dyDescent="0.25">
      <c r="A10" s="25"/>
      <c r="B10" s="118"/>
      <c r="C10" s="29" t="s">
        <v>7</v>
      </c>
      <c r="D10" s="166">
        <v>10146140966</v>
      </c>
      <c r="E10" s="234">
        <v>11123</v>
      </c>
      <c r="F10" s="107"/>
      <c r="G10" s="228"/>
      <c r="H10" s="144"/>
      <c r="I10" s="144"/>
      <c r="J10" s="177">
        <v>1784</v>
      </c>
      <c r="K10" s="144"/>
      <c r="L10" s="145"/>
      <c r="M10" s="177"/>
      <c r="N10" s="145"/>
      <c r="O10" s="144">
        <v>16351</v>
      </c>
      <c r="P10" s="146"/>
      <c r="Q10" s="1"/>
      <c r="R10" s="71">
        <f t="shared" si="1"/>
        <v>27474</v>
      </c>
      <c r="S10" s="71">
        <f>SUM(E10:P10)</f>
        <v>29258</v>
      </c>
      <c r="T10" s="37"/>
      <c r="U10" s="38"/>
      <c r="V10" s="38"/>
      <c r="W10" s="38"/>
      <c r="X10" s="38">
        <v>4</v>
      </c>
      <c r="Y10" s="64"/>
      <c r="Z10" s="1"/>
      <c r="AA10" s="204"/>
      <c r="AB10" s="50"/>
      <c r="AC10" s="50"/>
      <c r="AD10" s="50"/>
      <c r="AE10" s="49">
        <f>8930.81+4469.63+8573.58+1123.4</f>
        <v>23097.42</v>
      </c>
      <c r="AF10" s="49">
        <f>14500+2000+2000</f>
        <v>18500</v>
      </c>
      <c r="AG10" s="50"/>
      <c r="AH10" s="68"/>
      <c r="AI10" s="49"/>
      <c r="AJ10" s="50"/>
      <c r="AK10" s="68"/>
      <c r="AL10" s="51"/>
      <c r="AM10" s="48">
        <f t="shared" si="2"/>
        <v>41597.42</v>
      </c>
      <c r="AN10" s="1"/>
      <c r="AO10" s="48">
        <f t="shared" si="3"/>
        <v>70855.42</v>
      </c>
      <c r="AP10" s="1"/>
      <c r="AQ10" s="1"/>
      <c r="AR10" s="193">
        <f t="shared" si="4"/>
        <v>18500</v>
      </c>
      <c r="AS10" s="193">
        <f t="shared" si="5"/>
        <v>18500</v>
      </c>
      <c r="AT10" s="259">
        <f t="shared" si="6"/>
        <v>23097.42</v>
      </c>
      <c r="AU10" s="100">
        <f t="shared" si="7"/>
        <v>23097.42</v>
      </c>
      <c r="AV10" s="1"/>
      <c r="AW10" s="100">
        <f>500000+480000+250000+250000</f>
        <v>1480000</v>
      </c>
      <c r="AX10" s="100"/>
      <c r="AY10" s="1"/>
      <c r="AZ10" s="1"/>
      <c r="BA10" s="100">
        <f t="shared" si="8"/>
        <v>34220.42</v>
      </c>
      <c r="BB10" s="100">
        <f t="shared" si="9"/>
        <v>50571.42</v>
      </c>
      <c r="BC10" s="100">
        <f t="shared" si="10"/>
        <v>50571.42</v>
      </c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</row>
    <row r="11" spans="1:164" s="10" customFormat="1" x14ac:dyDescent="0.25">
      <c r="A11" s="25"/>
      <c r="B11" s="118"/>
      <c r="C11" s="29" t="s">
        <v>5</v>
      </c>
      <c r="D11" s="166" t="s">
        <v>62</v>
      </c>
      <c r="E11" s="233"/>
      <c r="F11" s="107"/>
      <c r="G11" s="143"/>
      <c r="H11" s="140"/>
      <c r="I11" s="140"/>
      <c r="J11" s="176"/>
      <c r="K11" s="144"/>
      <c r="L11" s="145"/>
      <c r="M11" s="176"/>
      <c r="N11" s="145"/>
      <c r="O11" s="144"/>
      <c r="P11" s="146"/>
      <c r="Q11" s="1"/>
      <c r="R11" s="71">
        <f t="shared" si="1"/>
        <v>0</v>
      </c>
      <c r="S11" s="71">
        <f t="shared" si="0"/>
        <v>0</v>
      </c>
      <c r="T11" s="37"/>
      <c r="U11" s="38"/>
      <c r="V11" s="38"/>
      <c r="W11" s="38"/>
      <c r="X11" s="38"/>
      <c r="Y11" s="64"/>
      <c r="Z11" s="1"/>
      <c r="AA11" s="204"/>
      <c r="AB11" s="50"/>
      <c r="AC11" s="50"/>
      <c r="AD11" s="50"/>
      <c r="AE11" s="49"/>
      <c r="AF11" s="49"/>
      <c r="AG11" s="50"/>
      <c r="AH11" s="68"/>
      <c r="AI11" s="49"/>
      <c r="AJ11" s="50"/>
      <c r="AK11" s="68"/>
      <c r="AL11" s="51"/>
      <c r="AM11" s="48">
        <f t="shared" si="2"/>
        <v>0</v>
      </c>
      <c r="AN11" s="1"/>
      <c r="AO11" s="48">
        <f t="shared" si="3"/>
        <v>0</v>
      </c>
      <c r="AP11" s="1"/>
      <c r="AQ11" s="1"/>
      <c r="AR11" s="193">
        <f t="shared" si="4"/>
        <v>0</v>
      </c>
      <c r="AS11" s="193">
        <f t="shared" si="5"/>
        <v>0</v>
      </c>
      <c r="AT11" s="259">
        <f t="shared" si="6"/>
        <v>0</v>
      </c>
      <c r="AU11" s="100">
        <f t="shared" si="7"/>
        <v>0</v>
      </c>
      <c r="AV11" s="1"/>
      <c r="AW11" s="100"/>
      <c r="AX11" s="100"/>
      <c r="AY11" s="1"/>
      <c r="AZ11" s="1"/>
      <c r="BA11" s="100">
        <f t="shared" si="8"/>
        <v>0</v>
      </c>
      <c r="BB11" s="100">
        <f t="shared" si="9"/>
        <v>0</v>
      </c>
      <c r="BC11" s="100">
        <f t="shared" si="10"/>
        <v>0</v>
      </c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</row>
    <row r="12" spans="1:164" s="10" customFormat="1" x14ac:dyDescent="0.25">
      <c r="A12" s="26"/>
      <c r="B12" s="119"/>
      <c r="C12" s="29" t="s">
        <v>17</v>
      </c>
      <c r="D12" s="166" t="s">
        <v>63</v>
      </c>
      <c r="E12" s="233"/>
      <c r="F12" s="107">
        <v>457</v>
      </c>
      <c r="G12" s="143"/>
      <c r="H12" s="164"/>
      <c r="I12" s="140"/>
      <c r="J12" s="176"/>
      <c r="K12" s="147"/>
      <c r="L12" s="148"/>
      <c r="M12" s="176"/>
      <c r="N12" s="148"/>
      <c r="O12" s="147"/>
      <c r="P12" s="149"/>
      <c r="Q12" s="1"/>
      <c r="R12" s="71">
        <f t="shared" si="1"/>
        <v>457</v>
      </c>
      <c r="S12" s="71">
        <f t="shared" si="0"/>
        <v>457</v>
      </c>
      <c r="T12" s="37"/>
      <c r="U12" s="38"/>
      <c r="V12" s="38"/>
      <c r="W12" s="38"/>
      <c r="X12" s="38">
        <v>4</v>
      </c>
      <c r="Y12" s="64"/>
      <c r="Z12" s="1"/>
      <c r="AA12" s="204"/>
      <c r="AB12" s="49"/>
      <c r="AC12" s="50"/>
      <c r="AD12" s="49">
        <f>3120+2805+3390+4200</f>
        <v>13515</v>
      </c>
      <c r="AE12" s="49"/>
      <c r="AF12" s="49"/>
      <c r="AG12" s="50"/>
      <c r="AH12" s="68"/>
      <c r="AI12" s="49"/>
      <c r="AJ12" s="50"/>
      <c r="AK12" s="68"/>
      <c r="AL12" s="51"/>
      <c r="AM12" s="48">
        <f t="shared" si="2"/>
        <v>13515</v>
      </c>
      <c r="AN12" s="1"/>
      <c r="AO12" s="48">
        <f t="shared" si="3"/>
        <v>13972</v>
      </c>
      <c r="AP12" s="1"/>
      <c r="AQ12" s="1"/>
      <c r="AR12" s="193">
        <f t="shared" si="4"/>
        <v>0</v>
      </c>
      <c r="AS12" s="193">
        <f t="shared" si="5"/>
        <v>0</v>
      </c>
      <c r="AT12" s="259">
        <f t="shared" si="6"/>
        <v>13515</v>
      </c>
      <c r="AU12" s="100">
        <f t="shared" si="7"/>
        <v>13515</v>
      </c>
      <c r="AV12" s="1"/>
      <c r="AW12" s="100"/>
      <c r="AX12" s="100"/>
      <c r="AY12" s="1"/>
      <c r="AZ12" s="1"/>
      <c r="BA12" s="100">
        <f t="shared" si="8"/>
        <v>13972</v>
      </c>
      <c r="BB12" s="100">
        <f t="shared" si="9"/>
        <v>13972</v>
      </c>
      <c r="BC12" s="100">
        <f t="shared" si="10"/>
        <v>13972</v>
      </c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</row>
    <row r="13" spans="1:164" s="10" customFormat="1" x14ac:dyDescent="0.25">
      <c r="A13" s="26"/>
      <c r="B13" s="119"/>
      <c r="C13" s="29" t="s">
        <v>24</v>
      </c>
      <c r="D13" s="166" t="s">
        <v>64</v>
      </c>
      <c r="E13" s="233"/>
      <c r="F13" s="107"/>
      <c r="G13" s="143"/>
      <c r="H13" s="144">
        <v>3444</v>
      </c>
      <c r="I13" s="144">
        <v>3649</v>
      </c>
      <c r="J13" s="177">
        <v>191</v>
      </c>
      <c r="K13" s="147"/>
      <c r="L13" s="148"/>
      <c r="M13" s="177"/>
      <c r="N13" s="148"/>
      <c r="O13" s="144">
        <v>4747</v>
      </c>
      <c r="P13" s="149"/>
      <c r="Q13" s="1"/>
      <c r="R13" s="71">
        <f t="shared" si="1"/>
        <v>11840</v>
      </c>
      <c r="S13" s="71">
        <f t="shared" si="0"/>
        <v>12031</v>
      </c>
      <c r="T13" s="37"/>
      <c r="U13" s="38"/>
      <c r="V13" s="38"/>
      <c r="W13" s="38"/>
      <c r="X13" s="38"/>
      <c r="Y13" s="64">
        <v>1</v>
      </c>
      <c r="Z13" s="1"/>
      <c r="AA13" s="204"/>
      <c r="AB13" s="50"/>
      <c r="AC13" s="50"/>
      <c r="AD13" s="50"/>
      <c r="AE13" s="49"/>
      <c r="AF13" s="49"/>
      <c r="AG13" s="50"/>
      <c r="AH13" s="68">
        <v>3576.56</v>
      </c>
      <c r="AI13" s="49"/>
      <c r="AJ13" s="50"/>
      <c r="AK13" s="68"/>
      <c r="AL13" s="51"/>
      <c r="AM13" s="48">
        <f t="shared" si="2"/>
        <v>3576.56</v>
      </c>
      <c r="AN13" s="1"/>
      <c r="AO13" s="48">
        <f t="shared" si="3"/>
        <v>15607.56</v>
      </c>
      <c r="AP13" s="1"/>
      <c r="AQ13" s="1"/>
      <c r="AR13" s="193">
        <f t="shared" si="4"/>
        <v>0</v>
      </c>
      <c r="AS13" s="193">
        <f t="shared" si="5"/>
        <v>0</v>
      </c>
      <c r="AT13" s="259">
        <f t="shared" si="6"/>
        <v>3576.56</v>
      </c>
      <c r="AU13" s="100">
        <f t="shared" si="7"/>
        <v>3576.56</v>
      </c>
      <c r="AV13" s="1"/>
      <c r="AW13" s="100">
        <v>100000</v>
      </c>
      <c r="AX13" s="100"/>
      <c r="AY13" s="1"/>
      <c r="AZ13" s="1"/>
      <c r="BA13" s="100">
        <f t="shared" si="8"/>
        <v>7093</v>
      </c>
      <c r="BB13" s="100">
        <f t="shared" si="9"/>
        <v>15416.56</v>
      </c>
      <c r="BC13" s="100">
        <f t="shared" si="10"/>
        <v>15416.56</v>
      </c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</row>
    <row r="14" spans="1:164" s="10" customFormat="1" x14ac:dyDescent="0.25">
      <c r="A14" s="26"/>
      <c r="B14" s="119"/>
      <c r="C14" s="29" t="s">
        <v>21</v>
      </c>
      <c r="D14" s="166" t="s">
        <v>65</v>
      </c>
      <c r="E14" s="234">
        <v>1674</v>
      </c>
      <c r="F14" s="107">
        <v>734</v>
      </c>
      <c r="G14" s="228"/>
      <c r="H14" s="144"/>
      <c r="I14" s="144">
        <v>2640</v>
      </c>
      <c r="J14" s="177">
        <v>115</v>
      </c>
      <c r="K14" s="147"/>
      <c r="L14" s="148"/>
      <c r="M14" s="177"/>
      <c r="N14" s="148"/>
      <c r="O14" s="144">
        <v>5490</v>
      </c>
      <c r="P14" s="149"/>
      <c r="Q14" s="1"/>
      <c r="R14" s="71">
        <f t="shared" si="1"/>
        <v>10538</v>
      </c>
      <c r="S14" s="71">
        <f>SUM(E14:P14)</f>
        <v>10653</v>
      </c>
      <c r="T14" s="37"/>
      <c r="U14" s="38"/>
      <c r="V14" s="38"/>
      <c r="W14" s="38"/>
      <c r="X14" s="38"/>
      <c r="Y14" s="64"/>
      <c r="Z14" s="1"/>
      <c r="AA14" s="204"/>
      <c r="AB14" s="50"/>
      <c r="AC14" s="50"/>
      <c r="AD14" s="50"/>
      <c r="AE14" s="49"/>
      <c r="AF14" s="49"/>
      <c r="AG14" s="50"/>
      <c r="AH14" s="68"/>
      <c r="AI14" s="49"/>
      <c r="AJ14" s="50"/>
      <c r="AK14" s="68"/>
      <c r="AL14" s="51"/>
      <c r="AM14" s="48">
        <f t="shared" si="2"/>
        <v>0</v>
      </c>
      <c r="AN14" s="1"/>
      <c r="AO14" s="48">
        <f t="shared" si="3"/>
        <v>10653</v>
      </c>
      <c r="AP14" s="1"/>
      <c r="AQ14" s="1"/>
      <c r="AR14" s="193">
        <f t="shared" si="4"/>
        <v>0</v>
      </c>
      <c r="AS14" s="193">
        <f t="shared" si="5"/>
        <v>0</v>
      </c>
      <c r="AT14" s="259">
        <f t="shared" si="6"/>
        <v>0</v>
      </c>
      <c r="AU14" s="100">
        <f t="shared" si="7"/>
        <v>0</v>
      </c>
      <c r="AV14" s="1"/>
      <c r="AW14" s="100"/>
      <c r="AX14" s="100"/>
      <c r="AY14" s="1"/>
      <c r="AZ14" s="1"/>
      <c r="BA14" s="100">
        <f>+F14+E14+H14+I14+AD14+AE14</f>
        <v>5048</v>
      </c>
      <c r="BB14" s="100">
        <f t="shared" si="9"/>
        <v>10538</v>
      </c>
      <c r="BC14" s="100">
        <f t="shared" si="10"/>
        <v>10538</v>
      </c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</row>
    <row r="15" spans="1:164" s="10" customFormat="1" x14ac:dyDescent="0.25">
      <c r="A15" s="26"/>
      <c r="B15" s="120"/>
      <c r="C15" s="88" t="s">
        <v>43</v>
      </c>
      <c r="D15" s="167" t="s">
        <v>66</v>
      </c>
      <c r="E15" s="235"/>
      <c r="F15" s="107"/>
      <c r="G15" s="150"/>
      <c r="H15" s="151"/>
      <c r="I15" s="151"/>
      <c r="J15" s="178"/>
      <c r="K15" s="150">
        <v>2000</v>
      </c>
      <c r="L15" s="152">
        <f>+K15</f>
        <v>2000</v>
      </c>
      <c r="M15" s="178"/>
      <c r="N15" s="152"/>
      <c r="O15" s="150"/>
      <c r="P15" s="153"/>
      <c r="Q15" s="1"/>
      <c r="R15" s="71">
        <f t="shared" si="1"/>
        <v>4000</v>
      </c>
      <c r="S15" s="71">
        <f t="shared" si="0"/>
        <v>4000</v>
      </c>
      <c r="T15" s="89"/>
      <c r="U15" s="90"/>
      <c r="V15" s="90"/>
      <c r="W15" s="90"/>
      <c r="X15" s="90"/>
      <c r="Y15" s="91"/>
      <c r="Z15" s="1"/>
      <c r="AA15" s="205"/>
      <c r="AB15" s="92"/>
      <c r="AC15" s="92"/>
      <c r="AD15" s="92"/>
      <c r="AE15" s="93"/>
      <c r="AF15" s="93"/>
      <c r="AG15" s="92"/>
      <c r="AH15" s="94"/>
      <c r="AI15" s="93"/>
      <c r="AJ15" s="92"/>
      <c r="AK15" s="94"/>
      <c r="AL15" s="51"/>
      <c r="AM15" s="48">
        <f t="shared" si="2"/>
        <v>0</v>
      </c>
      <c r="AN15" s="1"/>
      <c r="AO15" s="48">
        <f t="shared" si="3"/>
        <v>4000</v>
      </c>
      <c r="AP15" s="1"/>
      <c r="AQ15" s="1"/>
      <c r="AR15" s="193">
        <f t="shared" si="4"/>
        <v>0</v>
      </c>
      <c r="AS15" s="193">
        <f t="shared" si="5"/>
        <v>0</v>
      </c>
      <c r="AT15" s="259">
        <f t="shared" si="6"/>
        <v>0</v>
      </c>
      <c r="AU15" s="100">
        <f t="shared" si="7"/>
        <v>0</v>
      </c>
      <c r="AV15" s="1"/>
      <c r="AW15" s="100"/>
      <c r="AX15" s="100"/>
      <c r="AY15" s="1"/>
      <c r="AZ15" s="1"/>
      <c r="BA15" s="100">
        <f t="shared" si="8"/>
        <v>0</v>
      </c>
      <c r="BB15" s="100">
        <f t="shared" si="9"/>
        <v>4000</v>
      </c>
      <c r="BC15" s="100">
        <f t="shared" si="10"/>
        <v>4000</v>
      </c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</row>
    <row r="16" spans="1:164" s="10" customFormat="1" ht="26" thickBot="1" x14ac:dyDescent="0.3">
      <c r="A16" s="26"/>
      <c r="B16" s="120"/>
      <c r="C16" s="30" t="s">
        <v>27</v>
      </c>
      <c r="D16" s="166" t="s">
        <v>67</v>
      </c>
      <c r="E16" s="236"/>
      <c r="F16" s="107">
        <v>25</v>
      </c>
      <c r="G16" s="154"/>
      <c r="H16" s="155"/>
      <c r="I16" s="155">
        <v>5186.1000000000004</v>
      </c>
      <c r="J16" s="179">
        <v>811</v>
      </c>
      <c r="K16" s="156"/>
      <c r="L16" s="157"/>
      <c r="M16" s="179"/>
      <c r="N16" s="157"/>
      <c r="O16" s="156"/>
      <c r="P16" s="158"/>
      <c r="Q16" s="1"/>
      <c r="R16" s="72">
        <f t="shared" si="1"/>
        <v>5211.1000000000004</v>
      </c>
      <c r="S16" s="72">
        <f t="shared" si="0"/>
        <v>6022.1</v>
      </c>
      <c r="T16" s="39"/>
      <c r="U16" s="40"/>
      <c r="V16" s="40"/>
      <c r="W16" s="40"/>
      <c r="X16" s="40">
        <v>1</v>
      </c>
      <c r="Y16" s="65">
        <v>2</v>
      </c>
      <c r="Z16" s="1"/>
      <c r="AA16" s="206"/>
      <c r="AB16" s="55"/>
      <c r="AC16" s="55"/>
      <c r="AD16" s="55"/>
      <c r="AE16" s="54">
        <v>7137.02</v>
      </c>
      <c r="AF16" s="54"/>
      <c r="AG16" s="55"/>
      <c r="AH16" s="69"/>
      <c r="AI16" s="54"/>
      <c r="AJ16" s="55"/>
      <c r="AK16" s="69"/>
      <c r="AL16" s="51"/>
      <c r="AM16" s="96">
        <f t="shared" si="2"/>
        <v>7137.02</v>
      </c>
      <c r="AN16" s="1"/>
      <c r="AO16" s="96">
        <f t="shared" si="3"/>
        <v>13159.12</v>
      </c>
      <c r="AP16" s="1"/>
      <c r="AQ16" s="1"/>
      <c r="AR16" s="194">
        <f t="shared" si="4"/>
        <v>0</v>
      </c>
      <c r="AS16" s="194">
        <f t="shared" si="5"/>
        <v>0</v>
      </c>
      <c r="AT16" s="260">
        <f t="shared" si="6"/>
        <v>7137.02</v>
      </c>
      <c r="AU16" s="101">
        <f t="shared" si="7"/>
        <v>7137.02</v>
      </c>
      <c r="AV16" s="1"/>
      <c r="AW16" s="101">
        <f>200000+10234.5+12832.5+21354.55+26722.53</f>
        <v>271144.07999999996</v>
      </c>
      <c r="AX16" s="101"/>
      <c r="AY16" s="1"/>
      <c r="AZ16" s="1"/>
      <c r="BA16" s="101">
        <f t="shared" si="8"/>
        <v>12348.12</v>
      </c>
      <c r="BB16" s="101">
        <f t="shared" si="9"/>
        <v>12348.12</v>
      </c>
      <c r="BC16" s="101">
        <f t="shared" si="10"/>
        <v>12348.12</v>
      </c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</row>
    <row r="17" spans="1:164" ht="26" thickBot="1" x14ac:dyDescent="0.3">
      <c r="C17" s="12" t="s">
        <v>35</v>
      </c>
      <c r="D17" s="11"/>
      <c r="E17" s="237"/>
      <c r="F17" s="59"/>
      <c r="G17" s="59"/>
      <c r="R17" s="51">
        <f t="shared" si="1"/>
        <v>0</v>
      </c>
      <c r="S17" s="51"/>
      <c r="T17" s="41"/>
      <c r="U17" s="41"/>
      <c r="V17" s="41"/>
      <c r="W17" s="41"/>
      <c r="X17" s="41"/>
      <c r="Y17" s="4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O17" s="51"/>
      <c r="AR17" s="51"/>
      <c r="AS17" s="51"/>
      <c r="AT17" s="51"/>
      <c r="AU17" s="51"/>
      <c r="AW17" s="51"/>
      <c r="AX17" s="51"/>
      <c r="BA17" s="51"/>
      <c r="BB17" s="51"/>
      <c r="BC17" s="51"/>
    </row>
    <row r="18" spans="1:164" s="10" customFormat="1" ht="26" thickBot="1" x14ac:dyDescent="0.3">
      <c r="A18" s="25"/>
      <c r="B18" s="117"/>
      <c r="C18" s="210" t="s">
        <v>103</v>
      </c>
      <c r="D18" s="211" t="s">
        <v>104</v>
      </c>
      <c r="E18" s="238"/>
      <c r="F18" s="106"/>
      <c r="G18" s="106"/>
      <c r="H18" s="19"/>
      <c r="I18" s="19"/>
      <c r="J18" s="180"/>
      <c r="K18" s="13"/>
      <c r="L18" s="13"/>
      <c r="M18" s="180"/>
      <c r="N18" s="13"/>
      <c r="O18" s="13"/>
      <c r="P18" s="21"/>
      <c r="Q18" s="1"/>
      <c r="R18" s="70">
        <f t="shared" si="1"/>
        <v>0</v>
      </c>
      <c r="S18" s="70">
        <f t="shared" ref="S18:S40" si="11">SUM(E18:P18)</f>
        <v>0</v>
      </c>
      <c r="T18" s="198"/>
      <c r="U18" s="43"/>
      <c r="V18" s="43"/>
      <c r="W18" s="43"/>
      <c r="X18" s="43"/>
      <c r="Y18" s="63"/>
      <c r="Z18" s="1"/>
      <c r="AA18" s="199"/>
      <c r="AB18" s="56"/>
      <c r="AC18" s="56"/>
      <c r="AD18" s="56"/>
      <c r="AE18" s="56"/>
      <c r="AF18" s="56"/>
      <c r="AG18" s="56"/>
      <c r="AH18" s="70"/>
      <c r="AI18" s="56"/>
      <c r="AJ18" s="56"/>
      <c r="AK18" s="70"/>
      <c r="AL18" s="51"/>
      <c r="AM18" s="73">
        <f>SUM(AA18:AK18)</f>
        <v>0</v>
      </c>
      <c r="AN18" s="1"/>
      <c r="AO18" s="73">
        <f>+AM18+S18</f>
        <v>0</v>
      </c>
      <c r="AP18" s="1"/>
      <c r="AQ18" s="1"/>
      <c r="AR18" s="217">
        <f t="shared" ref="AR18" si="12">+AA18+AC18+AF18</f>
        <v>0</v>
      </c>
      <c r="AS18" s="192">
        <f t="shared" si="5"/>
        <v>0</v>
      </c>
      <c r="AT18" s="258">
        <f t="shared" si="6"/>
        <v>0</v>
      </c>
      <c r="AU18" s="99">
        <f>+AD18+AE18+AH18+AG18+AJ18+AK18</f>
        <v>0</v>
      </c>
      <c r="AV18" s="1"/>
      <c r="AW18" s="223"/>
      <c r="AX18" s="218"/>
      <c r="AY18" s="1"/>
      <c r="AZ18" s="1"/>
      <c r="BA18" s="223">
        <f t="shared" si="8"/>
        <v>0</v>
      </c>
      <c r="BB18" s="223">
        <f t="shared" si="9"/>
        <v>0</v>
      </c>
      <c r="BC18" s="223">
        <f t="shared" si="10"/>
        <v>0</v>
      </c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</row>
    <row r="19" spans="1:164" s="10" customFormat="1" x14ac:dyDescent="0.25">
      <c r="A19" s="25"/>
      <c r="B19" s="117"/>
      <c r="C19" s="212" t="s">
        <v>2</v>
      </c>
      <c r="D19" s="209" t="s">
        <v>69</v>
      </c>
      <c r="E19" s="239"/>
      <c r="F19" s="107"/>
      <c r="G19" s="107"/>
      <c r="H19" s="6"/>
      <c r="I19" s="6"/>
      <c r="J19" s="176"/>
      <c r="K19" s="7"/>
      <c r="L19" s="7"/>
      <c r="M19" s="176"/>
      <c r="N19" s="7"/>
      <c r="O19" s="7"/>
      <c r="P19" s="14"/>
      <c r="Q19" s="1"/>
      <c r="R19" s="68">
        <f t="shared" si="1"/>
        <v>0</v>
      </c>
      <c r="S19" s="68">
        <f t="shared" si="11"/>
        <v>0</v>
      </c>
      <c r="T19" s="198"/>
      <c r="U19" s="43"/>
      <c r="V19" s="43"/>
      <c r="W19" s="43"/>
      <c r="X19" s="43"/>
      <c r="Y19" s="63"/>
      <c r="Z19" s="1"/>
      <c r="AA19" s="200"/>
      <c r="AB19" s="49"/>
      <c r="AC19" s="49"/>
      <c r="AD19" s="49"/>
      <c r="AE19" s="49"/>
      <c r="AF19" s="49"/>
      <c r="AG19" s="49"/>
      <c r="AH19" s="68"/>
      <c r="AI19" s="49"/>
      <c r="AJ19" s="49"/>
      <c r="AK19" s="68"/>
      <c r="AL19" s="51"/>
      <c r="AM19" s="71">
        <f t="shared" ref="AM19:AM40" si="13">SUM(AA19:AK19)</f>
        <v>0</v>
      </c>
      <c r="AN19" s="1"/>
      <c r="AO19" s="71">
        <f>+AM19+S19</f>
        <v>0</v>
      </c>
      <c r="AP19" s="1"/>
      <c r="AQ19" s="1"/>
      <c r="AR19" s="219">
        <f t="shared" ref="AR19:AR39" si="14">+AA19+AC19+AF19</f>
        <v>0</v>
      </c>
      <c r="AS19" s="193">
        <f t="shared" si="5"/>
        <v>0</v>
      </c>
      <c r="AT19" s="259">
        <f t="shared" si="6"/>
        <v>0</v>
      </c>
      <c r="AU19" s="100">
        <f t="shared" ref="AU19:AU43" si="15">+AD19+AE19+AH19+AG19+AJ19+AK19</f>
        <v>0</v>
      </c>
      <c r="AV19" s="1"/>
      <c r="AW19" s="224"/>
      <c r="AX19" s="220"/>
      <c r="AY19" s="1"/>
      <c r="AZ19" s="1"/>
      <c r="BA19" s="224">
        <f t="shared" si="8"/>
        <v>0</v>
      </c>
      <c r="BB19" s="224">
        <f t="shared" si="9"/>
        <v>0</v>
      </c>
      <c r="BC19" s="224">
        <f t="shared" si="10"/>
        <v>0</v>
      </c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</row>
    <row r="20" spans="1:164" s="10" customFormat="1" x14ac:dyDescent="0.25">
      <c r="A20" s="25"/>
      <c r="B20" s="118"/>
      <c r="C20" s="212" t="s">
        <v>3</v>
      </c>
      <c r="D20" s="209" t="s">
        <v>70</v>
      </c>
      <c r="E20" s="239"/>
      <c r="F20" s="107"/>
      <c r="G20" s="107"/>
      <c r="H20" s="6"/>
      <c r="I20" s="6"/>
      <c r="J20" s="176"/>
      <c r="K20" s="7"/>
      <c r="L20" s="7"/>
      <c r="M20" s="176"/>
      <c r="N20" s="7"/>
      <c r="O20" s="7"/>
      <c r="P20" s="14"/>
      <c r="Q20" s="1"/>
      <c r="R20" s="68">
        <f t="shared" si="1"/>
        <v>0</v>
      </c>
      <c r="S20" s="68">
        <f t="shared" si="11"/>
        <v>0</v>
      </c>
      <c r="T20" s="215"/>
      <c r="U20" s="38"/>
      <c r="V20" s="38"/>
      <c r="W20" s="38"/>
      <c r="X20" s="38"/>
      <c r="Y20" s="64"/>
      <c r="Z20" s="1"/>
      <c r="AA20" s="200"/>
      <c r="AB20" s="49"/>
      <c r="AC20" s="49"/>
      <c r="AD20" s="49"/>
      <c r="AE20" s="49"/>
      <c r="AF20" s="49"/>
      <c r="AG20" s="49"/>
      <c r="AH20" s="68"/>
      <c r="AI20" s="49"/>
      <c r="AJ20" s="49"/>
      <c r="AK20" s="68"/>
      <c r="AL20" s="51"/>
      <c r="AM20" s="71">
        <f t="shared" si="13"/>
        <v>0</v>
      </c>
      <c r="AN20" s="1"/>
      <c r="AO20" s="71">
        <f t="shared" ref="AO20:AO40" si="16">+AM20+S20</f>
        <v>0</v>
      </c>
      <c r="AP20" s="1"/>
      <c r="AQ20" s="1"/>
      <c r="AR20" s="219">
        <f t="shared" si="14"/>
        <v>0</v>
      </c>
      <c r="AS20" s="193">
        <f t="shared" si="5"/>
        <v>0</v>
      </c>
      <c r="AT20" s="259">
        <f t="shared" si="6"/>
        <v>0</v>
      </c>
      <c r="AU20" s="100">
        <f t="shared" si="15"/>
        <v>0</v>
      </c>
      <c r="AV20" s="1"/>
      <c r="AW20" s="224"/>
      <c r="AX20" s="220"/>
      <c r="AY20" s="1"/>
      <c r="AZ20" s="1"/>
      <c r="BA20" s="224">
        <f t="shared" si="8"/>
        <v>0</v>
      </c>
      <c r="BB20" s="224">
        <f t="shared" si="9"/>
        <v>0</v>
      </c>
      <c r="BC20" s="224">
        <f t="shared" si="10"/>
        <v>0</v>
      </c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</row>
    <row r="21" spans="1:164" s="10" customFormat="1" x14ac:dyDescent="0.25">
      <c r="A21" s="25"/>
      <c r="B21" s="118"/>
      <c r="C21" s="212" t="s">
        <v>6</v>
      </c>
      <c r="D21" s="209" t="s">
        <v>71</v>
      </c>
      <c r="E21" s="239"/>
      <c r="F21" s="107"/>
      <c r="G21" s="107"/>
      <c r="H21" s="6"/>
      <c r="I21" s="6"/>
      <c r="J21" s="176"/>
      <c r="K21" s="7"/>
      <c r="L21" s="7"/>
      <c r="M21" s="176"/>
      <c r="N21" s="7"/>
      <c r="O21" s="7"/>
      <c r="P21" s="14"/>
      <c r="Q21" s="1"/>
      <c r="R21" s="68">
        <f t="shared" si="1"/>
        <v>0</v>
      </c>
      <c r="S21" s="68">
        <f t="shared" si="11"/>
        <v>0</v>
      </c>
      <c r="T21" s="215"/>
      <c r="U21" s="38"/>
      <c r="V21" s="38"/>
      <c r="W21" s="38"/>
      <c r="X21" s="38"/>
      <c r="Y21" s="64"/>
      <c r="Z21" s="1"/>
      <c r="AA21" s="200"/>
      <c r="AB21" s="49"/>
      <c r="AC21" s="49"/>
      <c r="AD21" s="49"/>
      <c r="AE21" s="49"/>
      <c r="AF21" s="49"/>
      <c r="AG21" s="49"/>
      <c r="AH21" s="68"/>
      <c r="AI21" s="49"/>
      <c r="AJ21" s="49"/>
      <c r="AK21" s="68"/>
      <c r="AL21" s="51"/>
      <c r="AM21" s="71">
        <f t="shared" si="13"/>
        <v>0</v>
      </c>
      <c r="AN21" s="1"/>
      <c r="AO21" s="71">
        <f t="shared" si="16"/>
        <v>0</v>
      </c>
      <c r="AP21" s="1"/>
      <c r="AQ21" s="1"/>
      <c r="AR21" s="219">
        <f t="shared" si="14"/>
        <v>0</v>
      </c>
      <c r="AS21" s="193">
        <f t="shared" si="5"/>
        <v>0</v>
      </c>
      <c r="AT21" s="259">
        <f t="shared" si="6"/>
        <v>0</v>
      </c>
      <c r="AU21" s="100">
        <f t="shared" si="15"/>
        <v>0</v>
      </c>
      <c r="AV21" s="1"/>
      <c r="AW21" s="224"/>
      <c r="AX21" s="220"/>
      <c r="AY21" s="1"/>
      <c r="AZ21" s="1"/>
      <c r="BA21" s="224">
        <f t="shared" si="8"/>
        <v>0</v>
      </c>
      <c r="BB21" s="224">
        <f t="shared" si="9"/>
        <v>0</v>
      </c>
      <c r="BC21" s="224">
        <f t="shared" si="10"/>
        <v>0</v>
      </c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</row>
    <row r="22" spans="1:164" s="10" customFormat="1" x14ac:dyDescent="0.25">
      <c r="A22" s="25"/>
      <c r="B22" s="118"/>
      <c r="C22" s="212" t="s">
        <v>4</v>
      </c>
      <c r="D22" s="209" t="s">
        <v>72</v>
      </c>
      <c r="E22" s="239"/>
      <c r="F22" s="107"/>
      <c r="G22" s="107"/>
      <c r="H22" s="7"/>
      <c r="I22" s="7"/>
      <c r="J22" s="177">
        <v>192</v>
      </c>
      <c r="K22" s="7"/>
      <c r="L22" s="7"/>
      <c r="M22" s="177"/>
      <c r="N22" s="7"/>
      <c r="O22" s="7"/>
      <c r="P22" s="14"/>
      <c r="Q22" s="1"/>
      <c r="R22" s="68">
        <f t="shared" si="1"/>
        <v>0</v>
      </c>
      <c r="S22" s="68">
        <f t="shared" si="11"/>
        <v>192</v>
      </c>
      <c r="T22" s="215"/>
      <c r="U22" s="38"/>
      <c r="V22" s="38"/>
      <c r="W22" s="38"/>
      <c r="X22" s="38"/>
      <c r="Y22" s="64"/>
      <c r="Z22" s="1"/>
      <c r="AA22" s="200"/>
      <c r="AB22" s="49"/>
      <c r="AC22" s="49"/>
      <c r="AD22" s="49"/>
      <c r="AE22" s="49"/>
      <c r="AF22" s="49"/>
      <c r="AG22" s="49"/>
      <c r="AH22" s="68"/>
      <c r="AI22" s="49"/>
      <c r="AJ22" s="49"/>
      <c r="AK22" s="68"/>
      <c r="AL22" s="51"/>
      <c r="AM22" s="71">
        <f t="shared" si="13"/>
        <v>0</v>
      </c>
      <c r="AN22" s="1"/>
      <c r="AO22" s="71">
        <f t="shared" si="16"/>
        <v>192</v>
      </c>
      <c r="AP22" s="1"/>
      <c r="AQ22" s="1"/>
      <c r="AR22" s="219">
        <f t="shared" si="14"/>
        <v>0</v>
      </c>
      <c r="AS22" s="193">
        <f t="shared" si="5"/>
        <v>0</v>
      </c>
      <c r="AT22" s="259">
        <f t="shared" si="6"/>
        <v>0</v>
      </c>
      <c r="AU22" s="100">
        <f t="shared" si="15"/>
        <v>0</v>
      </c>
      <c r="AV22" s="1"/>
      <c r="AW22" s="224"/>
      <c r="AX22" s="220"/>
      <c r="AY22" s="1"/>
      <c r="AZ22" s="1"/>
      <c r="BA22" s="224">
        <f t="shared" si="8"/>
        <v>0</v>
      </c>
      <c r="BB22" s="224">
        <f t="shared" si="9"/>
        <v>0</v>
      </c>
      <c r="BC22" s="224">
        <f t="shared" si="10"/>
        <v>0</v>
      </c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</row>
    <row r="23" spans="1:164" s="10" customFormat="1" x14ac:dyDescent="0.25">
      <c r="A23" s="25"/>
      <c r="B23" s="118"/>
      <c r="C23" s="212" t="s">
        <v>8</v>
      </c>
      <c r="D23" s="209" t="s">
        <v>73</v>
      </c>
      <c r="E23" s="239"/>
      <c r="F23" s="107"/>
      <c r="G23" s="107"/>
      <c r="H23" s="6"/>
      <c r="I23" s="6"/>
      <c r="J23" s="176"/>
      <c r="K23" s="7"/>
      <c r="L23" s="7"/>
      <c r="M23" s="176"/>
      <c r="N23" s="7"/>
      <c r="O23" s="7"/>
      <c r="P23" s="14"/>
      <c r="Q23" s="1"/>
      <c r="R23" s="68">
        <f t="shared" si="1"/>
        <v>0</v>
      </c>
      <c r="S23" s="68">
        <f t="shared" si="11"/>
        <v>0</v>
      </c>
      <c r="T23" s="215"/>
      <c r="U23" s="38"/>
      <c r="V23" s="38"/>
      <c r="W23" s="38"/>
      <c r="X23" s="38"/>
      <c r="Y23" s="64"/>
      <c r="Z23" s="1"/>
      <c r="AA23" s="200"/>
      <c r="AB23" s="49"/>
      <c r="AC23" s="49"/>
      <c r="AD23" s="49"/>
      <c r="AE23" s="49"/>
      <c r="AF23" s="49"/>
      <c r="AG23" s="49"/>
      <c r="AH23" s="68"/>
      <c r="AI23" s="49"/>
      <c r="AJ23" s="49"/>
      <c r="AK23" s="68"/>
      <c r="AL23" s="51"/>
      <c r="AM23" s="71">
        <f t="shared" si="13"/>
        <v>0</v>
      </c>
      <c r="AN23" s="1"/>
      <c r="AO23" s="71">
        <f t="shared" si="16"/>
        <v>0</v>
      </c>
      <c r="AP23" s="1"/>
      <c r="AQ23" s="1"/>
      <c r="AR23" s="219">
        <f t="shared" si="14"/>
        <v>0</v>
      </c>
      <c r="AS23" s="193">
        <f t="shared" si="5"/>
        <v>0</v>
      </c>
      <c r="AT23" s="259">
        <f t="shared" si="6"/>
        <v>0</v>
      </c>
      <c r="AU23" s="100">
        <f t="shared" si="15"/>
        <v>0</v>
      </c>
      <c r="AV23" s="1"/>
      <c r="AW23" s="224"/>
      <c r="AX23" s="220"/>
      <c r="AY23" s="1"/>
      <c r="AZ23" s="1"/>
      <c r="BA23" s="224">
        <f t="shared" si="8"/>
        <v>0</v>
      </c>
      <c r="BB23" s="224">
        <f t="shared" si="9"/>
        <v>0</v>
      </c>
      <c r="BC23" s="224">
        <f t="shared" si="10"/>
        <v>0</v>
      </c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</row>
    <row r="24" spans="1:164" s="10" customFormat="1" x14ac:dyDescent="0.25">
      <c r="A24" s="26"/>
      <c r="B24" s="119"/>
      <c r="C24" s="212" t="s">
        <v>14</v>
      </c>
      <c r="D24" s="209" t="s">
        <v>74</v>
      </c>
      <c r="E24" s="239"/>
      <c r="F24" s="107">
        <v>1212</v>
      </c>
      <c r="G24" s="107"/>
      <c r="H24" s="7">
        <v>5884</v>
      </c>
      <c r="I24" s="7">
        <v>6750</v>
      </c>
      <c r="J24" s="177">
        <v>304</v>
      </c>
      <c r="K24" s="9">
        <v>17106</v>
      </c>
      <c r="L24" s="9">
        <f>+K24</f>
        <v>17106</v>
      </c>
      <c r="M24" s="177"/>
      <c r="N24" s="9">
        <v>12600</v>
      </c>
      <c r="O24" s="9">
        <v>1344</v>
      </c>
      <c r="P24" s="15"/>
      <c r="Q24" s="1"/>
      <c r="R24" s="68">
        <f t="shared" si="1"/>
        <v>62002</v>
      </c>
      <c r="S24" s="68">
        <f t="shared" si="11"/>
        <v>62306</v>
      </c>
      <c r="T24" s="215"/>
      <c r="U24" s="38"/>
      <c r="V24" s="38">
        <v>1</v>
      </c>
      <c r="W24" s="38"/>
      <c r="X24" s="38">
        <v>1</v>
      </c>
      <c r="Y24" s="64">
        <v>1</v>
      </c>
      <c r="Z24" s="1"/>
      <c r="AA24" s="200"/>
      <c r="AB24" s="49"/>
      <c r="AC24" s="49"/>
      <c r="AD24" s="49">
        <v>4245</v>
      </c>
      <c r="AF24" s="49"/>
      <c r="AG24" s="49"/>
      <c r="AH24" s="68">
        <v>10729.69</v>
      </c>
      <c r="AI24" s="49"/>
      <c r="AJ24" s="49"/>
      <c r="AK24" s="68"/>
      <c r="AL24" s="51"/>
      <c r="AM24" s="71">
        <f t="shared" si="13"/>
        <v>14974.69</v>
      </c>
      <c r="AN24" s="1"/>
      <c r="AO24" s="71">
        <f t="shared" si="16"/>
        <v>77280.69</v>
      </c>
      <c r="AP24" s="1"/>
      <c r="AQ24" s="1"/>
      <c r="AR24" s="219">
        <f t="shared" si="14"/>
        <v>0</v>
      </c>
      <c r="AS24" s="193">
        <f t="shared" si="5"/>
        <v>0</v>
      </c>
      <c r="AT24" s="259">
        <f t="shared" si="6"/>
        <v>14974.69</v>
      </c>
      <c r="AU24" s="100">
        <f t="shared" si="15"/>
        <v>14974.69</v>
      </c>
      <c r="AV24" s="1"/>
      <c r="AW24" s="224">
        <v>300000</v>
      </c>
      <c r="AX24" s="220"/>
      <c r="AY24" s="1"/>
      <c r="AZ24" s="1"/>
      <c r="BA24" s="224">
        <f t="shared" si="8"/>
        <v>18091</v>
      </c>
      <c r="BB24" s="224">
        <f t="shared" si="9"/>
        <v>76976.69</v>
      </c>
      <c r="BC24" s="224">
        <f t="shared" si="10"/>
        <v>76976.69</v>
      </c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</row>
    <row r="25" spans="1:164" s="10" customFormat="1" x14ac:dyDescent="0.25">
      <c r="A25" s="26"/>
      <c r="B25" s="119"/>
      <c r="C25" s="212" t="s">
        <v>15</v>
      </c>
      <c r="D25" s="209" t="s">
        <v>75</v>
      </c>
      <c r="E25" s="239">
        <v>7300</v>
      </c>
      <c r="F25" s="107">
        <v>2964.5</v>
      </c>
      <c r="G25" s="107"/>
      <c r="H25" s="7">
        <v>15205</v>
      </c>
      <c r="I25" s="7"/>
      <c r="J25" s="177">
        <v>877</v>
      </c>
      <c r="K25" s="8"/>
      <c r="L25" s="8"/>
      <c r="M25" s="177"/>
      <c r="N25" s="8"/>
      <c r="O25" s="9">
        <v>25653</v>
      </c>
      <c r="P25" s="15"/>
      <c r="Q25" s="1"/>
      <c r="R25" s="68">
        <f t="shared" si="1"/>
        <v>51122.5</v>
      </c>
      <c r="S25" s="68">
        <f t="shared" si="11"/>
        <v>51999.5</v>
      </c>
      <c r="T25" s="215"/>
      <c r="U25" s="38"/>
      <c r="V25" s="38"/>
      <c r="W25" s="38"/>
      <c r="X25" s="38">
        <v>2</v>
      </c>
      <c r="Y25" s="64"/>
      <c r="Z25" s="1"/>
      <c r="AA25" s="200"/>
      <c r="AB25" s="49"/>
      <c r="AC25" s="49"/>
      <c r="AD25" s="49"/>
      <c r="AE25" s="49">
        <f>7137.02+8911.73</f>
        <v>16048.75</v>
      </c>
      <c r="AF25" s="49"/>
      <c r="AG25" s="49"/>
      <c r="AH25" s="68"/>
      <c r="AI25" s="49"/>
      <c r="AJ25" s="49"/>
      <c r="AK25" s="68"/>
      <c r="AL25" s="51"/>
      <c r="AM25" s="71">
        <f t="shared" si="13"/>
        <v>16048.75</v>
      </c>
      <c r="AN25" s="1"/>
      <c r="AO25" s="71">
        <f t="shared" si="16"/>
        <v>68048.25</v>
      </c>
      <c r="AP25" s="1"/>
      <c r="AQ25" s="1"/>
      <c r="AR25" s="219">
        <f t="shared" si="14"/>
        <v>0</v>
      </c>
      <c r="AS25" s="193">
        <f t="shared" si="5"/>
        <v>0</v>
      </c>
      <c r="AT25" s="259">
        <f t="shared" si="6"/>
        <v>16048.75</v>
      </c>
      <c r="AU25" s="100">
        <f t="shared" si="15"/>
        <v>16048.75</v>
      </c>
      <c r="AV25" s="1"/>
      <c r="AW25" s="224">
        <f>250000+200000</f>
        <v>450000</v>
      </c>
      <c r="AX25" s="220"/>
      <c r="AY25" s="1"/>
      <c r="AZ25" s="1"/>
      <c r="BA25" s="224">
        <f t="shared" si="8"/>
        <v>41518.25</v>
      </c>
      <c r="BB25" s="224">
        <f t="shared" si="9"/>
        <v>67171.25</v>
      </c>
      <c r="BC25" s="224">
        <f t="shared" si="10"/>
        <v>67171.25</v>
      </c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</row>
    <row r="26" spans="1:164" s="10" customFormat="1" x14ac:dyDescent="0.25">
      <c r="A26" s="26"/>
      <c r="B26" s="119"/>
      <c r="C26" s="212" t="s">
        <v>18</v>
      </c>
      <c r="D26" s="209" t="s">
        <v>76</v>
      </c>
      <c r="E26" s="239"/>
      <c r="F26" s="107">
        <v>6394.4</v>
      </c>
      <c r="G26" s="107"/>
      <c r="H26" s="6"/>
      <c r="I26" s="6"/>
      <c r="J26" s="176"/>
      <c r="K26" s="8"/>
      <c r="L26" s="8"/>
      <c r="M26" s="176"/>
      <c r="N26" s="8"/>
      <c r="O26" s="8"/>
      <c r="P26" s="15"/>
      <c r="Q26" s="1"/>
      <c r="R26" s="68">
        <f t="shared" si="1"/>
        <v>6394.4</v>
      </c>
      <c r="S26" s="68">
        <f t="shared" si="11"/>
        <v>6394.4</v>
      </c>
      <c r="T26" s="215"/>
      <c r="U26" s="38"/>
      <c r="V26" s="38"/>
      <c r="W26" s="38"/>
      <c r="X26" s="38">
        <v>7</v>
      </c>
      <c r="Y26" s="64">
        <v>4</v>
      </c>
      <c r="Z26" s="1"/>
      <c r="AA26" s="200"/>
      <c r="AB26" s="49"/>
      <c r="AC26" s="49"/>
      <c r="AD26" s="49"/>
      <c r="AE26" s="49">
        <f>13838.52+8921.27+10705.52+17861.61+8301.5+ 8301.5+17878.59</f>
        <v>85808.51</v>
      </c>
      <c r="AF26" s="49"/>
      <c r="AG26" s="49"/>
      <c r="AH26" s="172">
        <f>21059.19+4189.76+12517.98+17882.82</f>
        <v>55649.749999999993</v>
      </c>
      <c r="AI26" s="49"/>
      <c r="AJ26" s="49"/>
      <c r="AK26" s="172"/>
      <c r="AL26" s="51"/>
      <c r="AM26" s="71">
        <f t="shared" si="13"/>
        <v>141458.25999999998</v>
      </c>
      <c r="AN26" s="1"/>
      <c r="AO26" s="71">
        <f t="shared" si="16"/>
        <v>147852.65999999997</v>
      </c>
      <c r="AP26" s="1"/>
      <c r="AQ26" s="1"/>
      <c r="AR26" s="219">
        <f t="shared" si="14"/>
        <v>0</v>
      </c>
      <c r="AS26" s="193">
        <f t="shared" si="5"/>
        <v>0</v>
      </c>
      <c r="AT26" s="259">
        <f t="shared" si="6"/>
        <v>141458.25999999998</v>
      </c>
      <c r="AU26" s="100">
        <f t="shared" si="15"/>
        <v>141458.25999999998</v>
      </c>
      <c r="AV26" s="1"/>
      <c r="AW26" s="224">
        <f>500000+250000+300000+500000+300000+300000+500000+350000+500000+350000+24840.15</f>
        <v>3874840.15</v>
      </c>
      <c r="AX26" s="220"/>
      <c r="AY26" s="1"/>
      <c r="AZ26" s="1"/>
      <c r="BA26" s="224">
        <f>+E26+F26+H26+I26+AD26+AE26+12517.98</f>
        <v>104720.88999999998</v>
      </c>
      <c r="BB26" s="224">
        <f>+BA26+K26+L26+N26+O26+AH26+AG26-12517.98</f>
        <v>147852.65999999997</v>
      </c>
      <c r="BC26" s="224">
        <f t="shared" si="10"/>
        <v>147852.65999999997</v>
      </c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</row>
    <row r="27" spans="1:164" s="10" customFormat="1" x14ac:dyDescent="0.25">
      <c r="A27" s="26"/>
      <c r="B27" s="119"/>
      <c r="C27" s="212" t="s">
        <v>19</v>
      </c>
      <c r="D27" s="209" t="s">
        <v>77</v>
      </c>
      <c r="E27" s="239"/>
      <c r="F27" s="107"/>
      <c r="G27" s="107"/>
      <c r="H27" s="6"/>
      <c r="I27" s="6"/>
      <c r="J27" s="176"/>
      <c r="K27" s="8"/>
      <c r="L27" s="8"/>
      <c r="M27" s="176"/>
      <c r="N27" s="8"/>
      <c r="O27" s="8"/>
      <c r="P27" s="15"/>
      <c r="Q27" s="1"/>
      <c r="R27" s="68">
        <f t="shared" si="1"/>
        <v>0</v>
      </c>
      <c r="S27" s="68">
        <f t="shared" si="11"/>
        <v>0</v>
      </c>
      <c r="T27" s="215"/>
      <c r="U27" s="38"/>
      <c r="V27" s="38"/>
      <c r="W27" s="38"/>
      <c r="X27" s="38"/>
      <c r="Y27" s="64"/>
      <c r="Z27" s="1"/>
      <c r="AA27" s="200"/>
      <c r="AB27" s="49"/>
      <c r="AC27" s="49"/>
      <c r="AD27" s="49"/>
      <c r="AE27" s="49"/>
      <c r="AF27" s="49"/>
      <c r="AG27" s="49"/>
      <c r="AH27" s="68"/>
      <c r="AI27" s="49"/>
      <c r="AJ27" s="49"/>
      <c r="AK27" s="68"/>
      <c r="AL27" s="51"/>
      <c r="AM27" s="71">
        <f t="shared" si="13"/>
        <v>0</v>
      </c>
      <c r="AN27" s="1"/>
      <c r="AO27" s="71">
        <f t="shared" si="16"/>
        <v>0</v>
      </c>
      <c r="AP27" s="1"/>
      <c r="AQ27" s="1"/>
      <c r="AR27" s="219">
        <f t="shared" si="14"/>
        <v>0</v>
      </c>
      <c r="AS27" s="193">
        <f t="shared" si="5"/>
        <v>0</v>
      </c>
      <c r="AT27" s="259">
        <f t="shared" si="6"/>
        <v>0</v>
      </c>
      <c r="AU27" s="100">
        <f t="shared" si="15"/>
        <v>0</v>
      </c>
      <c r="AV27" s="1"/>
      <c r="AW27" s="224"/>
      <c r="AX27" s="220"/>
      <c r="AY27" s="1"/>
      <c r="AZ27" s="1"/>
      <c r="BA27" s="224">
        <f t="shared" ref="BA27:BA45" si="17">+E27+F27+H27+I27+AD27+AE27</f>
        <v>0</v>
      </c>
      <c r="BB27" s="224">
        <f t="shared" si="9"/>
        <v>0</v>
      </c>
      <c r="BC27" s="224">
        <f t="shared" si="10"/>
        <v>0</v>
      </c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</row>
    <row r="28" spans="1:164" s="10" customFormat="1" x14ac:dyDescent="0.25">
      <c r="A28" s="26"/>
      <c r="B28" s="119"/>
      <c r="C28" s="212" t="s">
        <v>20</v>
      </c>
      <c r="D28" s="209" t="s">
        <v>78</v>
      </c>
      <c r="E28" s="239"/>
      <c r="F28" s="107"/>
      <c r="G28" s="107"/>
      <c r="H28" s="7">
        <v>2782</v>
      </c>
      <c r="I28" s="7"/>
      <c r="J28" s="177">
        <v>723</v>
      </c>
      <c r="K28" s="9">
        <v>13360</v>
      </c>
      <c r="L28" s="9">
        <f>+K28</f>
        <v>13360</v>
      </c>
      <c r="M28" s="177"/>
      <c r="N28" s="9"/>
      <c r="O28" s="9">
        <v>12796</v>
      </c>
      <c r="P28" s="15"/>
      <c r="Q28" s="1"/>
      <c r="R28" s="68">
        <f t="shared" si="1"/>
        <v>42298</v>
      </c>
      <c r="S28" s="68">
        <f t="shared" si="11"/>
        <v>43021</v>
      </c>
      <c r="T28" s="215"/>
      <c r="U28" s="38"/>
      <c r="V28" s="38"/>
      <c r="W28" s="38"/>
      <c r="X28" s="38">
        <v>5</v>
      </c>
      <c r="Y28" s="64">
        <v>2</v>
      </c>
      <c r="Z28" s="1"/>
      <c r="AA28" s="200"/>
      <c r="AB28" s="49"/>
      <c r="AC28" s="49"/>
      <c r="AD28" s="49">
        <f>6630+4020+2805</f>
        <v>13455</v>
      </c>
      <c r="AE28" s="49">
        <f>12489.78+7151.45</f>
        <v>19641.23</v>
      </c>
      <c r="AF28" s="49"/>
      <c r="AG28" s="49"/>
      <c r="AH28" s="68">
        <f>449.39+3576.56</f>
        <v>4025.95</v>
      </c>
      <c r="AI28" s="49"/>
      <c r="AJ28" s="49"/>
      <c r="AK28" s="68"/>
      <c r="AL28" s="51"/>
      <c r="AM28" s="71">
        <f t="shared" si="13"/>
        <v>37122.179999999993</v>
      </c>
      <c r="AN28" s="1"/>
      <c r="AO28" s="71">
        <f t="shared" si="16"/>
        <v>80143.179999999993</v>
      </c>
      <c r="AP28" s="1"/>
      <c r="AQ28" s="1"/>
      <c r="AR28" s="219">
        <f t="shared" si="14"/>
        <v>0</v>
      </c>
      <c r="AS28" s="193">
        <f t="shared" si="5"/>
        <v>0</v>
      </c>
      <c r="AT28" s="259">
        <f t="shared" si="6"/>
        <v>37122.179999999993</v>
      </c>
      <c r="AU28" s="100">
        <f t="shared" si="15"/>
        <v>37122.179999999993</v>
      </c>
      <c r="AV28" s="1"/>
      <c r="AW28" s="224">
        <f>350000+200000+50000+100000</f>
        <v>700000</v>
      </c>
      <c r="AX28" s="220"/>
      <c r="AY28" s="1"/>
      <c r="AZ28" s="1"/>
      <c r="BA28" s="224">
        <f t="shared" si="17"/>
        <v>35878.229999999996</v>
      </c>
      <c r="BB28" s="224">
        <f t="shared" si="9"/>
        <v>79420.179999999993</v>
      </c>
      <c r="BC28" s="224">
        <f t="shared" si="10"/>
        <v>79420.179999999993</v>
      </c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</row>
    <row r="29" spans="1:164" s="10" customFormat="1" x14ac:dyDescent="0.25">
      <c r="A29" s="26"/>
      <c r="B29" s="119"/>
      <c r="C29" s="212" t="s">
        <v>22</v>
      </c>
      <c r="D29" s="209" t="s">
        <v>79</v>
      </c>
      <c r="E29" s="239">
        <v>436</v>
      </c>
      <c r="F29" s="107">
        <v>2723.5</v>
      </c>
      <c r="G29" s="107"/>
      <c r="H29" s="6"/>
      <c r="I29" s="6"/>
      <c r="J29" s="176"/>
      <c r="K29" s="8"/>
      <c r="L29" s="8"/>
      <c r="M29" s="176"/>
      <c r="N29" s="8"/>
      <c r="O29" s="8"/>
      <c r="P29" s="15"/>
      <c r="Q29" s="1"/>
      <c r="R29" s="68">
        <f t="shared" si="1"/>
        <v>3159.5</v>
      </c>
      <c r="S29" s="68">
        <f t="shared" si="11"/>
        <v>3159.5</v>
      </c>
      <c r="T29" s="215"/>
      <c r="U29" s="38"/>
      <c r="V29" s="38"/>
      <c r="W29" s="38"/>
      <c r="X29" s="38"/>
      <c r="Y29" s="64"/>
      <c r="Z29" s="1"/>
      <c r="AA29" s="200"/>
      <c r="AC29" s="49"/>
      <c r="AE29" s="49"/>
      <c r="AF29" s="49"/>
      <c r="AG29" s="49"/>
      <c r="AH29" s="68"/>
      <c r="AI29" s="49"/>
      <c r="AJ29" s="49"/>
      <c r="AK29" s="68"/>
      <c r="AL29" s="51"/>
      <c r="AM29" s="71">
        <f t="shared" si="13"/>
        <v>0</v>
      </c>
      <c r="AN29" s="1"/>
      <c r="AO29" s="71">
        <f t="shared" si="16"/>
        <v>3159.5</v>
      </c>
      <c r="AP29" s="1"/>
      <c r="AQ29" s="1"/>
      <c r="AR29" s="219">
        <f t="shared" si="14"/>
        <v>0</v>
      </c>
      <c r="AS29" s="193">
        <f t="shared" si="5"/>
        <v>0</v>
      </c>
      <c r="AT29" s="259">
        <f t="shared" si="6"/>
        <v>0</v>
      </c>
      <c r="AU29" s="100">
        <f t="shared" si="15"/>
        <v>0</v>
      </c>
      <c r="AV29" s="1"/>
      <c r="AW29" s="224"/>
      <c r="AX29" s="220"/>
      <c r="AY29" s="1"/>
      <c r="AZ29" s="1"/>
      <c r="BA29" s="224">
        <f t="shared" si="17"/>
        <v>3159.5</v>
      </c>
      <c r="BB29" s="224">
        <f t="shared" si="9"/>
        <v>3159.5</v>
      </c>
      <c r="BC29" s="224">
        <f t="shared" si="10"/>
        <v>3159.5</v>
      </c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</row>
    <row r="30" spans="1:164" s="10" customFormat="1" x14ac:dyDescent="0.25">
      <c r="A30" s="26"/>
      <c r="B30" s="119"/>
      <c r="C30" s="212" t="s">
        <v>23</v>
      </c>
      <c r="D30" s="209" t="s">
        <v>80</v>
      </c>
      <c r="E30" s="239">
        <v>136</v>
      </c>
      <c r="F30" s="107">
        <v>193.5</v>
      </c>
      <c r="G30" s="107"/>
      <c r="H30" s="6"/>
      <c r="I30" s="6"/>
      <c r="J30" s="176"/>
      <c r="K30" s="8"/>
      <c r="L30" s="8"/>
      <c r="M30" s="176"/>
      <c r="N30" s="8"/>
      <c r="O30" s="8"/>
      <c r="P30" s="15"/>
      <c r="Q30" s="1"/>
      <c r="R30" s="68">
        <f t="shared" si="1"/>
        <v>329.5</v>
      </c>
      <c r="S30" s="68">
        <f t="shared" si="11"/>
        <v>329.5</v>
      </c>
      <c r="T30" s="215"/>
      <c r="U30" s="38"/>
      <c r="V30" s="38"/>
      <c r="W30" s="38"/>
      <c r="X30" s="38"/>
      <c r="Y30" s="64"/>
      <c r="Z30" s="1"/>
      <c r="AA30" s="200"/>
      <c r="AB30" s="49"/>
      <c r="AC30" s="49"/>
      <c r="AD30" s="49"/>
      <c r="AE30" s="49"/>
      <c r="AF30" s="49"/>
      <c r="AG30" s="49"/>
      <c r="AH30" s="68"/>
      <c r="AI30" s="49"/>
      <c r="AJ30" s="49"/>
      <c r="AK30" s="68"/>
      <c r="AL30" s="51"/>
      <c r="AM30" s="71">
        <f t="shared" si="13"/>
        <v>0</v>
      </c>
      <c r="AN30" s="1"/>
      <c r="AO30" s="71">
        <f t="shared" si="16"/>
        <v>329.5</v>
      </c>
      <c r="AP30" s="1"/>
      <c r="AQ30" s="1"/>
      <c r="AR30" s="219">
        <f t="shared" si="14"/>
        <v>0</v>
      </c>
      <c r="AS30" s="193">
        <f t="shared" si="5"/>
        <v>0</v>
      </c>
      <c r="AT30" s="259">
        <f t="shared" si="6"/>
        <v>0</v>
      </c>
      <c r="AU30" s="100">
        <f t="shared" si="15"/>
        <v>0</v>
      </c>
      <c r="AV30" s="1"/>
      <c r="AW30" s="224"/>
      <c r="AX30" s="220"/>
      <c r="AY30" s="1"/>
      <c r="AZ30" s="1"/>
      <c r="BA30" s="224">
        <f t="shared" si="17"/>
        <v>329.5</v>
      </c>
      <c r="BB30" s="224">
        <f t="shared" si="9"/>
        <v>329.5</v>
      </c>
      <c r="BC30" s="224">
        <f t="shared" si="10"/>
        <v>329.5</v>
      </c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</row>
    <row r="31" spans="1:164" s="10" customFormat="1" x14ac:dyDescent="0.25">
      <c r="A31" s="26"/>
      <c r="B31" s="119"/>
      <c r="C31" s="212" t="s">
        <v>25</v>
      </c>
      <c r="D31" s="209" t="s">
        <v>81</v>
      </c>
      <c r="E31" s="239">
        <v>4285</v>
      </c>
      <c r="F31" s="107">
        <v>9375</v>
      </c>
      <c r="G31" s="107"/>
      <c r="H31" s="6"/>
      <c r="I31" s="6"/>
      <c r="J31" s="176"/>
      <c r="K31" s="8"/>
      <c r="L31" s="8"/>
      <c r="M31" s="176"/>
      <c r="N31" s="8"/>
      <c r="O31" s="8"/>
      <c r="P31" s="15"/>
      <c r="Q31" s="1"/>
      <c r="R31" s="68">
        <f t="shared" si="1"/>
        <v>13660</v>
      </c>
      <c r="S31" s="68">
        <f t="shared" si="11"/>
        <v>13660</v>
      </c>
      <c r="T31" s="215"/>
      <c r="U31" s="38"/>
      <c r="V31" s="38"/>
      <c r="W31" s="38"/>
      <c r="X31" s="38">
        <v>3</v>
      </c>
      <c r="Y31" s="64"/>
      <c r="Z31" s="1"/>
      <c r="AA31" s="200"/>
      <c r="AB31" s="49"/>
      <c r="AC31" s="49"/>
      <c r="AD31" s="49"/>
      <c r="AE31" s="49">
        <f>1797.09+449.27+8930.81</f>
        <v>11177.169999999998</v>
      </c>
      <c r="AF31" s="49"/>
      <c r="AG31" s="49"/>
      <c r="AH31" s="68"/>
      <c r="AI31" s="49"/>
      <c r="AJ31" s="49"/>
      <c r="AK31" s="68"/>
      <c r="AL31" s="51"/>
      <c r="AM31" s="71">
        <f t="shared" si="13"/>
        <v>11177.169999999998</v>
      </c>
      <c r="AN31" s="1"/>
      <c r="AO31" s="71">
        <f t="shared" si="16"/>
        <v>24837.17</v>
      </c>
      <c r="AP31" s="1"/>
      <c r="AQ31" s="1"/>
      <c r="AR31" s="219">
        <f t="shared" si="14"/>
        <v>0</v>
      </c>
      <c r="AS31" s="193">
        <f t="shared" si="5"/>
        <v>0</v>
      </c>
      <c r="AT31" s="259">
        <f t="shared" si="6"/>
        <v>11177.169999999998</v>
      </c>
      <c r="AU31" s="100">
        <f t="shared" si="15"/>
        <v>11177.169999999998</v>
      </c>
      <c r="AV31" s="1"/>
      <c r="AW31" s="224"/>
      <c r="AX31" s="220"/>
      <c r="AY31" s="1"/>
      <c r="AZ31" s="1"/>
      <c r="BA31" s="224">
        <f t="shared" si="17"/>
        <v>24837.17</v>
      </c>
      <c r="BB31" s="224">
        <f t="shared" si="9"/>
        <v>24837.17</v>
      </c>
      <c r="BC31" s="224">
        <f t="shared" si="10"/>
        <v>24837.17</v>
      </c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</row>
    <row r="32" spans="1:164" s="10" customFormat="1" x14ac:dyDescent="0.25">
      <c r="A32" s="26"/>
      <c r="B32" s="119"/>
      <c r="C32" s="212" t="s">
        <v>26</v>
      </c>
      <c r="D32" s="209" t="s">
        <v>82</v>
      </c>
      <c r="E32" s="239"/>
      <c r="F32" s="107">
        <v>5160.5</v>
      </c>
      <c r="G32" s="107"/>
      <c r="H32" s="6"/>
      <c r="I32" s="6"/>
      <c r="J32" s="176"/>
      <c r="K32" s="8"/>
      <c r="L32" s="8"/>
      <c r="M32" s="176"/>
      <c r="N32" s="8"/>
      <c r="O32" s="8"/>
      <c r="P32" s="15"/>
      <c r="Q32" s="1"/>
      <c r="R32" s="68">
        <f t="shared" si="1"/>
        <v>5160.5</v>
      </c>
      <c r="S32" s="68">
        <f t="shared" si="11"/>
        <v>5160.5</v>
      </c>
      <c r="T32" s="215"/>
      <c r="U32" s="38"/>
      <c r="V32" s="38"/>
      <c r="W32" s="38"/>
      <c r="X32" s="38"/>
      <c r="Y32" s="64"/>
      <c r="Z32" s="1"/>
      <c r="AA32" s="200"/>
      <c r="AB32" s="49"/>
      <c r="AC32" s="49"/>
      <c r="AD32" s="49"/>
      <c r="AE32" s="49"/>
      <c r="AF32" s="49"/>
      <c r="AG32" s="49"/>
      <c r="AH32" s="68"/>
      <c r="AI32" s="49"/>
      <c r="AJ32" s="49"/>
      <c r="AK32" s="68"/>
      <c r="AL32" s="51"/>
      <c r="AM32" s="71">
        <f t="shared" si="13"/>
        <v>0</v>
      </c>
      <c r="AN32" s="1"/>
      <c r="AO32" s="71">
        <f t="shared" si="16"/>
        <v>5160.5</v>
      </c>
      <c r="AP32" s="1"/>
      <c r="AQ32" s="1"/>
      <c r="AR32" s="219">
        <f t="shared" si="14"/>
        <v>0</v>
      </c>
      <c r="AS32" s="193">
        <f t="shared" si="5"/>
        <v>0</v>
      </c>
      <c r="AT32" s="259">
        <f t="shared" si="6"/>
        <v>0</v>
      </c>
      <c r="AU32" s="100">
        <f t="shared" si="15"/>
        <v>0</v>
      </c>
      <c r="AV32" s="1"/>
      <c r="AW32" s="224">
        <f>250000+50000+200000</f>
        <v>500000</v>
      </c>
      <c r="AX32" s="220"/>
      <c r="AY32" s="1"/>
      <c r="AZ32" s="1"/>
      <c r="BA32" s="224">
        <f t="shared" si="17"/>
        <v>5160.5</v>
      </c>
      <c r="BB32" s="224">
        <f t="shared" si="9"/>
        <v>5160.5</v>
      </c>
      <c r="BC32" s="224">
        <f t="shared" si="10"/>
        <v>5160.5</v>
      </c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</row>
    <row r="33" spans="1:164" s="10" customFormat="1" x14ac:dyDescent="0.25">
      <c r="A33" s="26"/>
      <c r="B33" s="119"/>
      <c r="C33" s="212" t="s">
        <v>28</v>
      </c>
      <c r="D33" s="209" t="s">
        <v>83</v>
      </c>
      <c r="E33" s="239">
        <v>2131</v>
      </c>
      <c r="F33" s="107"/>
      <c r="G33" s="107"/>
      <c r="H33" s="7"/>
      <c r="I33" s="7">
        <v>8372.1</v>
      </c>
      <c r="J33" s="177">
        <v>635</v>
      </c>
      <c r="K33" s="8"/>
      <c r="L33" s="8"/>
      <c r="M33" s="177"/>
      <c r="N33" s="8"/>
      <c r="O33" s="9">
        <v>6688</v>
      </c>
      <c r="P33" s="15"/>
      <c r="Q33" s="1"/>
      <c r="R33" s="68">
        <f t="shared" si="1"/>
        <v>17191.099999999999</v>
      </c>
      <c r="S33" s="68">
        <f t="shared" si="11"/>
        <v>17826.099999999999</v>
      </c>
      <c r="T33" s="215"/>
      <c r="U33" s="38"/>
      <c r="V33" s="38"/>
      <c r="W33" s="38"/>
      <c r="X33" s="38">
        <v>3</v>
      </c>
      <c r="Y33" s="64">
        <v>2</v>
      </c>
      <c r="Z33" s="1"/>
      <c r="AA33" s="200"/>
      <c r="AB33" s="49"/>
      <c r="AC33" s="49"/>
      <c r="AD33" s="49"/>
      <c r="AE33" s="49">
        <f>7137.02+3932.36+1076.89</f>
        <v>12146.27</v>
      </c>
      <c r="AF33" s="49"/>
      <c r="AG33" s="49"/>
      <c r="AH33" s="68"/>
      <c r="AI33" s="49"/>
      <c r="AJ33" s="49"/>
      <c r="AK33" s="68"/>
      <c r="AL33" s="51"/>
      <c r="AM33" s="71">
        <f t="shared" si="13"/>
        <v>12146.27</v>
      </c>
      <c r="AN33" s="1"/>
      <c r="AO33" s="71">
        <f t="shared" si="16"/>
        <v>29972.37</v>
      </c>
      <c r="AP33" s="1"/>
      <c r="AQ33" s="1"/>
      <c r="AR33" s="219">
        <f t="shared" si="14"/>
        <v>0</v>
      </c>
      <c r="AS33" s="193">
        <f t="shared" si="5"/>
        <v>0</v>
      </c>
      <c r="AT33" s="259">
        <f t="shared" si="6"/>
        <v>12146.27</v>
      </c>
      <c r="AU33" s="100">
        <f t="shared" si="15"/>
        <v>12146.27</v>
      </c>
      <c r="AV33" s="1"/>
      <c r="AW33" s="224">
        <f>200000+80000+110000+1228.2+15745.4+2562.64+32853.16</f>
        <v>442389.4</v>
      </c>
      <c r="AX33" s="220"/>
      <c r="AY33" s="1"/>
      <c r="AZ33" s="1"/>
      <c r="BA33" s="224">
        <f t="shared" si="17"/>
        <v>22649.370000000003</v>
      </c>
      <c r="BB33" s="224">
        <f t="shared" si="9"/>
        <v>29337.370000000003</v>
      </c>
      <c r="BC33" s="224">
        <f t="shared" si="10"/>
        <v>29337.370000000003</v>
      </c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</row>
    <row r="34" spans="1:164" s="10" customFormat="1" x14ac:dyDescent="0.25">
      <c r="A34" s="26"/>
      <c r="B34" s="119"/>
      <c r="C34" s="212" t="s">
        <v>29</v>
      </c>
      <c r="D34" s="209" t="s">
        <v>84</v>
      </c>
      <c r="E34" s="239"/>
      <c r="F34" s="107">
        <v>5611</v>
      </c>
      <c r="G34" s="107"/>
      <c r="H34" s="6"/>
      <c r="I34" s="6"/>
      <c r="J34" s="176"/>
      <c r="K34" s="8"/>
      <c r="L34" s="8"/>
      <c r="M34" s="176"/>
      <c r="N34" s="8"/>
      <c r="O34" s="8"/>
      <c r="P34" s="15"/>
      <c r="Q34" s="1"/>
      <c r="R34" s="68">
        <f t="shared" si="1"/>
        <v>5611</v>
      </c>
      <c r="S34" s="68">
        <f t="shared" si="11"/>
        <v>5611</v>
      </c>
      <c r="T34" s="215"/>
      <c r="U34" s="38"/>
      <c r="V34" s="38"/>
      <c r="W34" s="38"/>
      <c r="X34" s="38">
        <v>1</v>
      </c>
      <c r="Y34" s="64">
        <v>2</v>
      </c>
      <c r="Z34" s="1"/>
      <c r="AA34" s="200"/>
      <c r="AB34" s="49"/>
      <c r="AC34" s="49"/>
      <c r="AD34" s="49"/>
      <c r="AE34" s="49">
        <v>10694.09</v>
      </c>
      <c r="AF34" s="49"/>
      <c r="AG34" s="49"/>
      <c r="AH34" s="68">
        <f>10729.69+8941.41</f>
        <v>19671.099999999999</v>
      </c>
      <c r="AI34" s="49"/>
      <c r="AJ34" s="49"/>
      <c r="AK34" s="68"/>
      <c r="AL34" s="51"/>
      <c r="AM34" s="71">
        <f t="shared" si="13"/>
        <v>30365.19</v>
      </c>
      <c r="AN34" s="1"/>
      <c r="AO34" s="71">
        <f t="shared" si="16"/>
        <v>35976.19</v>
      </c>
      <c r="AP34" s="1"/>
      <c r="AQ34" s="1"/>
      <c r="AR34" s="219">
        <f t="shared" si="14"/>
        <v>0</v>
      </c>
      <c r="AS34" s="193">
        <f t="shared" si="5"/>
        <v>0</v>
      </c>
      <c r="AT34" s="259">
        <f t="shared" si="6"/>
        <v>30365.19</v>
      </c>
      <c r="AU34" s="100">
        <f t="shared" si="15"/>
        <v>30365.19</v>
      </c>
      <c r="AV34" s="1"/>
      <c r="AW34" s="224">
        <f>300000+250000+300000</f>
        <v>850000</v>
      </c>
      <c r="AX34" s="220"/>
      <c r="AY34" s="1"/>
      <c r="AZ34" s="1"/>
      <c r="BA34" s="224">
        <f t="shared" si="17"/>
        <v>16305.09</v>
      </c>
      <c r="BB34" s="224">
        <f t="shared" si="9"/>
        <v>35976.19</v>
      </c>
      <c r="BC34" s="224">
        <f t="shared" si="10"/>
        <v>35976.19</v>
      </c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</row>
    <row r="35" spans="1:164" s="10" customFormat="1" x14ac:dyDescent="0.25">
      <c r="A35" s="26"/>
      <c r="B35" s="119"/>
      <c r="C35" s="212" t="s">
        <v>30</v>
      </c>
      <c r="D35" s="209" t="s">
        <v>85</v>
      </c>
      <c r="E35" s="239"/>
      <c r="F35" s="107">
        <v>474.5</v>
      </c>
      <c r="G35" s="107"/>
      <c r="H35" s="7">
        <v>10606</v>
      </c>
      <c r="I35" s="6"/>
      <c r="J35" s="176"/>
      <c r="K35" s="8"/>
      <c r="L35" s="8"/>
      <c r="M35" s="176"/>
      <c r="N35" s="8"/>
      <c r="O35" s="8"/>
      <c r="P35" s="15"/>
      <c r="Q35" s="1"/>
      <c r="R35" s="68">
        <f t="shared" si="1"/>
        <v>11080.5</v>
      </c>
      <c r="S35" s="68">
        <f t="shared" si="11"/>
        <v>11080.5</v>
      </c>
      <c r="T35" s="215"/>
      <c r="U35" s="38"/>
      <c r="V35" s="38"/>
      <c r="W35" s="38"/>
      <c r="X35" s="38"/>
      <c r="Y35" s="64"/>
      <c r="Z35" s="1"/>
      <c r="AA35" s="200"/>
      <c r="AB35" s="49"/>
      <c r="AC35" s="49"/>
      <c r="AD35" s="49"/>
      <c r="AE35" s="49"/>
      <c r="AF35" s="49"/>
      <c r="AG35" s="49"/>
      <c r="AH35" s="68"/>
      <c r="AI35" s="49"/>
      <c r="AJ35" s="49"/>
      <c r="AK35" s="68"/>
      <c r="AL35" s="51"/>
      <c r="AM35" s="71">
        <f t="shared" si="13"/>
        <v>0</v>
      </c>
      <c r="AN35" s="1"/>
      <c r="AO35" s="71">
        <f t="shared" si="16"/>
        <v>11080.5</v>
      </c>
      <c r="AP35" s="1"/>
      <c r="AQ35" s="1"/>
      <c r="AR35" s="219">
        <f t="shared" si="14"/>
        <v>0</v>
      </c>
      <c r="AS35" s="193">
        <f t="shared" si="5"/>
        <v>0</v>
      </c>
      <c r="AT35" s="259">
        <f t="shared" si="6"/>
        <v>0</v>
      </c>
      <c r="AU35" s="100">
        <f t="shared" si="15"/>
        <v>0</v>
      </c>
      <c r="AV35" s="1"/>
      <c r="AW35" s="224"/>
      <c r="AX35" s="220"/>
      <c r="AY35" s="1"/>
      <c r="AZ35" s="1"/>
      <c r="BA35" s="224">
        <f t="shared" si="17"/>
        <v>11080.5</v>
      </c>
      <c r="BB35" s="224">
        <f t="shared" si="9"/>
        <v>11080.5</v>
      </c>
      <c r="BC35" s="224">
        <f t="shared" si="10"/>
        <v>11080.5</v>
      </c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</row>
    <row r="36" spans="1:164" s="10" customFormat="1" x14ac:dyDescent="0.25">
      <c r="A36" s="26"/>
      <c r="B36" s="119"/>
      <c r="C36" s="212" t="s">
        <v>44</v>
      </c>
      <c r="D36" s="209" t="s">
        <v>91</v>
      </c>
      <c r="E36" s="239"/>
      <c r="F36" s="107"/>
      <c r="G36" s="107"/>
      <c r="H36" s="7"/>
      <c r="I36" s="7">
        <v>16399</v>
      </c>
      <c r="J36" s="177">
        <v>210</v>
      </c>
      <c r="K36" s="9">
        <v>11042</v>
      </c>
      <c r="L36" s="9">
        <f>+K36</f>
        <v>11042</v>
      </c>
      <c r="M36" s="177"/>
      <c r="N36" s="9">
        <v>41061.480000000003</v>
      </c>
      <c r="O36" s="254">
        <v>34151</v>
      </c>
      <c r="P36" s="15"/>
      <c r="Q36" s="1"/>
      <c r="R36" s="68">
        <f t="shared" si="1"/>
        <v>113695.48000000001</v>
      </c>
      <c r="S36" s="68">
        <f t="shared" si="11"/>
        <v>113905.48000000001</v>
      </c>
      <c r="T36" s="215"/>
      <c r="U36" s="38"/>
      <c r="V36" s="38"/>
      <c r="W36" s="38"/>
      <c r="X36" s="38"/>
      <c r="Y36" s="64"/>
      <c r="Z36" s="1"/>
      <c r="AA36" s="200"/>
      <c r="AB36" s="49"/>
      <c r="AC36" s="49"/>
      <c r="AD36" s="49"/>
      <c r="AE36" s="49"/>
      <c r="AF36" s="49"/>
      <c r="AG36" s="49"/>
      <c r="AH36" s="68"/>
      <c r="AI36" s="49"/>
      <c r="AJ36" s="49"/>
      <c r="AK36" s="68"/>
      <c r="AL36" s="51"/>
      <c r="AM36" s="71">
        <f t="shared" si="13"/>
        <v>0</v>
      </c>
      <c r="AN36" s="1"/>
      <c r="AO36" s="71">
        <f t="shared" si="16"/>
        <v>113905.48000000001</v>
      </c>
      <c r="AP36" s="1"/>
      <c r="AQ36" s="1"/>
      <c r="AR36" s="219">
        <f t="shared" si="14"/>
        <v>0</v>
      </c>
      <c r="AS36" s="193">
        <f t="shared" si="5"/>
        <v>0</v>
      </c>
      <c r="AT36" s="259">
        <f t="shared" si="6"/>
        <v>0</v>
      </c>
      <c r="AU36" s="100">
        <f t="shared" si="15"/>
        <v>0</v>
      </c>
      <c r="AV36" s="1"/>
      <c r="AW36" s="224"/>
      <c r="AX36" s="220"/>
      <c r="AY36" s="1"/>
      <c r="AZ36" s="1"/>
      <c r="BA36" s="224">
        <f t="shared" si="17"/>
        <v>16399</v>
      </c>
      <c r="BB36" s="224">
        <f t="shared" si="9"/>
        <v>113695.48000000001</v>
      </c>
      <c r="BC36" s="224">
        <f t="shared" si="10"/>
        <v>113695.48000000001</v>
      </c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</row>
    <row r="37" spans="1:164" s="10" customFormat="1" x14ac:dyDescent="0.25">
      <c r="A37" s="26"/>
      <c r="B37" s="119"/>
      <c r="C37" s="212" t="s">
        <v>31</v>
      </c>
      <c r="D37" s="209" t="s">
        <v>86</v>
      </c>
      <c r="E37" s="239"/>
      <c r="F37" s="107"/>
      <c r="G37" s="107"/>
      <c r="H37" s="7">
        <v>13583</v>
      </c>
      <c r="I37" s="7">
        <f>9000+3000</f>
        <v>12000</v>
      </c>
      <c r="J37" s="177">
        <v>1936</v>
      </c>
      <c r="K37" s="8"/>
      <c r="L37" s="8"/>
      <c r="M37" s="177"/>
      <c r="N37" s="8"/>
      <c r="O37" s="8"/>
      <c r="P37" s="15"/>
      <c r="Q37" s="1"/>
      <c r="R37" s="68">
        <f t="shared" si="1"/>
        <v>25583</v>
      </c>
      <c r="S37" s="68">
        <f t="shared" si="11"/>
        <v>27519</v>
      </c>
      <c r="T37" s="215"/>
      <c r="U37" s="38"/>
      <c r="V37" s="38"/>
      <c r="W37" s="38"/>
      <c r="X37" s="38">
        <v>2</v>
      </c>
      <c r="Y37" s="64"/>
      <c r="Z37" s="1"/>
      <c r="AA37" s="200"/>
      <c r="AB37" s="49"/>
      <c r="AC37" s="49">
        <f>1630+18923.02</f>
        <v>20553.02</v>
      </c>
      <c r="AD37" s="49"/>
      <c r="AE37" s="49"/>
      <c r="AF37" s="49"/>
      <c r="AG37" s="49"/>
      <c r="AH37" s="68"/>
      <c r="AI37" s="49"/>
      <c r="AJ37" s="49"/>
      <c r="AK37" s="68"/>
      <c r="AL37" s="51"/>
      <c r="AM37" s="71">
        <f t="shared" si="13"/>
        <v>20553.02</v>
      </c>
      <c r="AN37" s="1"/>
      <c r="AO37" s="71">
        <f t="shared" si="16"/>
        <v>48072.020000000004</v>
      </c>
      <c r="AP37" s="1"/>
      <c r="AQ37" s="1"/>
      <c r="AR37" s="219">
        <f t="shared" si="14"/>
        <v>20553.02</v>
      </c>
      <c r="AS37" s="193">
        <f t="shared" si="5"/>
        <v>20553.02</v>
      </c>
      <c r="AT37" s="259">
        <f t="shared" si="6"/>
        <v>0</v>
      </c>
      <c r="AU37" s="100">
        <f t="shared" si="15"/>
        <v>0</v>
      </c>
      <c r="AV37" s="1"/>
      <c r="AW37" s="224"/>
      <c r="AX37" s="220"/>
      <c r="AY37" s="1"/>
      <c r="AZ37" s="1"/>
      <c r="BA37" s="224">
        <f t="shared" si="17"/>
        <v>25583</v>
      </c>
      <c r="BB37" s="224">
        <f t="shared" si="9"/>
        <v>25583</v>
      </c>
      <c r="BC37" s="224">
        <f t="shared" si="10"/>
        <v>25583</v>
      </c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</row>
    <row r="38" spans="1:164" s="10" customFormat="1" x14ac:dyDescent="0.25">
      <c r="A38" s="25"/>
      <c r="B38" s="118"/>
      <c r="C38" s="213" t="s">
        <v>89</v>
      </c>
      <c r="D38" s="209" t="s">
        <v>87</v>
      </c>
      <c r="E38" s="239"/>
      <c r="F38" s="107">
        <v>622.5</v>
      </c>
      <c r="G38" s="107"/>
      <c r="H38" s="6"/>
      <c r="I38" s="6"/>
      <c r="J38" s="176"/>
      <c r="K38" s="7"/>
      <c r="L38" s="7"/>
      <c r="M38" s="176"/>
      <c r="N38" s="7"/>
      <c r="O38" s="7"/>
      <c r="P38" s="14"/>
      <c r="Q38" s="1"/>
      <c r="R38" s="68">
        <f t="shared" si="1"/>
        <v>622.5</v>
      </c>
      <c r="S38" s="68">
        <f t="shared" si="11"/>
        <v>622.5</v>
      </c>
      <c r="T38" s="215"/>
      <c r="U38" s="38"/>
      <c r="V38" s="38"/>
      <c r="W38" s="38"/>
      <c r="X38" s="38"/>
      <c r="Y38" s="64"/>
      <c r="Z38" s="1"/>
      <c r="AA38" s="200"/>
      <c r="AB38" s="49"/>
      <c r="AC38" s="49"/>
      <c r="AD38" s="49"/>
      <c r="AE38" s="49"/>
      <c r="AF38" s="49"/>
      <c r="AG38" s="49"/>
      <c r="AH38" s="68"/>
      <c r="AI38" s="49"/>
      <c r="AJ38" s="49"/>
      <c r="AK38" s="68"/>
      <c r="AL38" s="51"/>
      <c r="AM38" s="71">
        <f t="shared" si="13"/>
        <v>0</v>
      </c>
      <c r="AN38" s="1"/>
      <c r="AO38" s="71">
        <f t="shared" si="16"/>
        <v>622.5</v>
      </c>
      <c r="AP38" s="1"/>
      <c r="AQ38" s="1"/>
      <c r="AR38" s="219">
        <f t="shared" si="14"/>
        <v>0</v>
      </c>
      <c r="AS38" s="193">
        <f t="shared" si="5"/>
        <v>0</v>
      </c>
      <c r="AT38" s="259">
        <f t="shared" si="6"/>
        <v>0</v>
      </c>
      <c r="AU38" s="100">
        <f t="shared" si="15"/>
        <v>0</v>
      </c>
      <c r="AV38" s="1"/>
      <c r="AW38" s="224"/>
      <c r="AX38" s="220"/>
      <c r="AY38" s="1"/>
      <c r="AZ38" s="1"/>
      <c r="BA38" s="224">
        <f t="shared" si="17"/>
        <v>622.5</v>
      </c>
      <c r="BB38" s="224">
        <f t="shared" si="9"/>
        <v>622.5</v>
      </c>
      <c r="BC38" s="224">
        <f t="shared" si="10"/>
        <v>622.5</v>
      </c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</row>
    <row r="39" spans="1:164" s="10" customFormat="1" ht="26" thickBot="1" x14ac:dyDescent="0.3">
      <c r="A39" s="25"/>
      <c r="B39" s="121"/>
      <c r="C39" s="212" t="s">
        <v>1</v>
      </c>
      <c r="D39" s="209" t="s">
        <v>88</v>
      </c>
      <c r="E39" s="239"/>
      <c r="F39" s="107">
        <v>854.5</v>
      </c>
      <c r="G39" s="107"/>
      <c r="H39" s="6"/>
      <c r="I39" s="6"/>
      <c r="J39" s="176"/>
      <c r="K39" s="7"/>
      <c r="L39" s="7"/>
      <c r="M39" s="176"/>
      <c r="N39" s="7"/>
      <c r="O39" s="7"/>
      <c r="P39" s="14"/>
      <c r="Q39" s="1"/>
      <c r="R39" s="68">
        <f t="shared" si="1"/>
        <v>854.5</v>
      </c>
      <c r="S39" s="68">
        <f t="shared" si="11"/>
        <v>854.5</v>
      </c>
      <c r="T39" s="216"/>
      <c r="U39" s="40"/>
      <c r="V39" s="40"/>
      <c r="W39" s="40"/>
      <c r="X39" s="40"/>
      <c r="Y39" s="65">
        <v>1</v>
      </c>
      <c r="Z39" s="1"/>
      <c r="AA39" s="200"/>
      <c r="AB39" s="49"/>
      <c r="AC39" s="49"/>
      <c r="AD39" s="49"/>
      <c r="AE39" s="49"/>
      <c r="AF39" s="49"/>
      <c r="AG39" s="49"/>
      <c r="AH39" s="68">
        <v>8941.41</v>
      </c>
      <c r="AI39" s="49"/>
      <c r="AJ39" s="49"/>
      <c r="AK39" s="68"/>
      <c r="AL39" s="51"/>
      <c r="AM39" s="71">
        <f t="shared" si="13"/>
        <v>8941.41</v>
      </c>
      <c r="AN39" s="1"/>
      <c r="AO39" s="71">
        <f t="shared" si="16"/>
        <v>9795.91</v>
      </c>
      <c r="AP39" s="1"/>
      <c r="AQ39" s="1"/>
      <c r="AR39" s="219">
        <f t="shared" si="14"/>
        <v>0</v>
      </c>
      <c r="AS39" s="193">
        <f t="shared" si="5"/>
        <v>0</v>
      </c>
      <c r="AT39" s="259">
        <f t="shared" si="6"/>
        <v>8941.41</v>
      </c>
      <c r="AU39" s="100">
        <f t="shared" si="15"/>
        <v>8941.41</v>
      </c>
      <c r="AV39" s="1"/>
      <c r="AW39" s="224">
        <v>250000</v>
      </c>
      <c r="AX39" s="220"/>
      <c r="AY39" s="1"/>
      <c r="AZ39" s="1"/>
      <c r="BA39" s="224">
        <f t="shared" si="17"/>
        <v>854.5</v>
      </c>
      <c r="BB39" s="224">
        <f t="shared" si="9"/>
        <v>9795.91</v>
      </c>
      <c r="BC39" s="224">
        <f t="shared" si="10"/>
        <v>9795.91</v>
      </c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</row>
    <row r="40" spans="1:164" s="10" customFormat="1" ht="26" thickBot="1" x14ac:dyDescent="0.3">
      <c r="A40" s="25"/>
      <c r="B40" s="121"/>
      <c r="C40" s="214" t="s">
        <v>105</v>
      </c>
      <c r="D40" s="226" t="s">
        <v>106</v>
      </c>
      <c r="E40" s="240"/>
      <c r="F40" s="107"/>
      <c r="G40" s="108"/>
      <c r="H40" s="22"/>
      <c r="I40" s="22"/>
      <c r="J40" s="181"/>
      <c r="K40" s="16"/>
      <c r="L40" s="16"/>
      <c r="M40" s="181"/>
      <c r="N40" s="16"/>
      <c r="O40" s="16"/>
      <c r="P40" s="23"/>
      <c r="Q40" s="1"/>
      <c r="R40" s="69">
        <f t="shared" si="1"/>
        <v>0</v>
      </c>
      <c r="S40" s="69">
        <f t="shared" si="11"/>
        <v>0</v>
      </c>
      <c r="T40" s="216"/>
      <c r="U40" s="40"/>
      <c r="V40" s="40"/>
      <c r="W40" s="40"/>
      <c r="X40" s="40"/>
      <c r="Y40" s="65"/>
      <c r="Z40" s="1"/>
      <c r="AA40" s="201"/>
      <c r="AB40" s="54"/>
      <c r="AC40" s="54"/>
      <c r="AD40" s="54"/>
      <c r="AE40" s="54"/>
      <c r="AF40" s="54"/>
      <c r="AG40" s="54"/>
      <c r="AH40" s="69">
        <v>2521.23</v>
      </c>
      <c r="AI40" s="54"/>
      <c r="AJ40" s="54"/>
      <c r="AK40" s="69"/>
      <c r="AL40" s="51"/>
      <c r="AM40" s="72">
        <f t="shared" si="13"/>
        <v>2521.23</v>
      </c>
      <c r="AN40" s="1"/>
      <c r="AO40" s="72">
        <f t="shared" si="16"/>
        <v>2521.23</v>
      </c>
      <c r="AP40" s="1"/>
      <c r="AQ40" s="1"/>
      <c r="AR40" s="221">
        <f t="shared" ref="AR40" si="18">+AA40+AC40+AF40</f>
        <v>0</v>
      </c>
      <c r="AS40" s="194">
        <f t="shared" si="5"/>
        <v>0</v>
      </c>
      <c r="AT40" s="260">
        <f t="shared" si="6"/>
        <v>2521.23</v>
      </c>
      <c r="AU40" s="101">
        <f t="shared" si="15"/>
        <v>2521.23</v>
      </c>
      <c r="AV40" s="1"/>
      <c r="AW40" s="225"/>
      <c r="AX40" s="222"/>
      <c r="AY40" s="1"/>
      <c r="AZ40" s="1"/>
      <c r="BA40" s="225">
        <f t="shared" si="17"/>
        <v>0</v>
      </c>
      <c r="BB40" s="225">
        <f t="shared" si="9"/>
        <v>2521.23</v>
      </c>
      <c r="BC40" s="225">
        <f t="shared" si="10"/>
        <v>2521.23</v>
      </c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</row>
    <row r="41" spans="1:164" ht="26" thickBot="1" x14ac:dyDescent="0.3">
      <c r="E41" s="241" t="s">
        <v>116</v>
      </c>
      <c r="R41" s="51"/>
      <c r="S41" s="51"/>
      <c r="T41" s="41"/>
      <c r="U41" s="41"/>
      <c r="V41" s="41"/>
      <c r="W41" s="41"/>
      <c r="X41" s="41"/>
      <c r="Y41" s="4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O41" s="51"/>
      <c r="AR41" s="51"/>
      <c r="AS41" s="51"/>
      <c r="AT41" s="51"/>
      <c r="AU41" s="51"/>
      <c r="AW41" s="51"/>
      <c r="AX41" s="51"/>
      <c r="BA41" s="51"/>
      <c r="BB41" s="51"/>
      <c r="BC41" s="51"/>
    </row>
    <row r="42" spans="1:164" s="10" customFormat="1" x14ac:dyDescent="0.25">
      <c r="A42" s="26"/>
      <c r="B42" s="122"/>
      <c r="C42" s="31" t="s">
        <v>56</v>
      </c>
      <c r="D42" s="168"/>
      <c r="E42" s="123"/>
      <c r="F42" s="124"/>
      <c r="G42" s="124"/>
      <c r="H42" s="13"/>
      <c r="I42" s="13"/>
      <c r="J42" s="174"/>
      <c r="K42" s="20"/>
      <c r="L42" s="125"/>
      <c r="M42" s="174"/>
      <c r="N42" s="125"/>
      <c r="O42" s="20"/>
      <c r="P42" s="24"/>
      <c r="Q42" s="1"/>
      <c r="R42" s="73">
        <f t="shared" si="1"/>
        <v>0</v>
      </c>
      <c r="S42" s="73">
        <f>SUM(E42:P42)</f>
        <v>0</v>
      </c>
      <c r="T42" s="37"/>
      <c r="U42" s="38"/>
      <c r="V42" s="38">
        <v>3</v>
      </c>
      <c r="W42" s="38">
        <v>14</v>
      </c>
      <c r="X42" s="38">
        <v>10</v>
      </c>
      <c r="Y42" s="61">
        <v>2</v>
      </c>
      <c r="Z42" s="1"/>
      <c r="AA42" s="207"/>
      <c r="AB42" s="57"/>
      <c r="AC42" s="126"/>
      <c r="AD42" s="57"/>
      <c r="AE42" s="56"/>
      <c r="AF42" s="56"/>
      <c r="AG42" s="57"/>
      <c r="AH42" s="127"/>
      <c r="AI42" s="56"/>
      <c r="AJ42" s="57"/>
      <c r="AK42" s="127"/>
      <c r="AL42" s="51"/>
      <c r="AM42" s="73">
        <f>SUM(AA42:AK42)</f>
        <v>0</v>
      </c>
      <c r="AN42" s="1"/>
      <c r="AO42" s="73">
        <f>+AM42+S42</f>
        <v>0</v>
      </c>
      <c r="AP42" s="1"/>
      <c r="AQ42" s="1"/>
      <c r="AR42" s="113">
        <f>+AA42+AC42+AF42</f>
        <v>0</v>
      </c>
      <c r="AS42" s="113">
        <f t="shared" si="5"/>
        <v>0</v>
      </c>
      <c r="AT42" s="114">
        <f t="shared" si="6"/>
        <v>0</v>
      </c>
      <c r="AU42" s="114">
        <f>+AD42+AE42+AH42+AG42+AJ42+AK42</f>
        <v>0</v>
      </c>
      <c r="AV42" s="1"/>
      <c r="AW42" s="114"/>
      <c r="AX42" s="114"/>
      <c r="AY42" s="1"/>
      <c r="AZ42" s="1"/>
      <c r="BA42" s="114">
        <f t="shared" si="17"/>
        <v>0</v>
      </c>
      <c r="BB42" s="114">
        <f t="shared" si="9"/>
        <v>0</v>
      </c>
      <c r="BC42" s="114">
        <f t="shared" si="10"/>
        <v>0</v>
      </c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</row>
    <row r="43" spans="1:164" s="10" customFormat="1" ht="26" thickBot="1" x14ac:dyDescent="0.3">
      <c r="A43" s="26"/>
      <c r="B43" s="120"/>
      <c r="C43" s="82" t="s">
        <v>55</v>
      </c>
      <c r="D43" s="169"/>
      <c r="E43" s="128"/>
      <c r="F43" s="129"/>
      <c r="G43" s="129"/>
      <c r="H43" s="16"/>
      <c r="I43" s="16"/>
      <c r="J43" s="179"/>
      <c r="K43" s="17"/>
      <c r="L43" s="111"/>
      <c r="M43" s="179"/>
      <c r="N43" s="111"/>
      <c r="O43" s="17"/>
      <c r="P43" s="18"/>
      <c r="Q43" s="1"/>
      <c r="R43" s="72">
        <f t="shared" si="1"/>
        <v>0</v>
      </c>
      <c r="S43" s="72">
        <f>SUM(E43:P43)</f>
        <v>0</v>
      </c>
      <c r="T43" s="39"/>
      <c r="U43" s="40"/>
      <c r="V43" s="40"/>
      <c r="W43" s="40"/>
      <c r="X43" s="40"/>
      <c r="Y43" s="62"/>
      <c r="Z43" s="1"/>
      <c r="AA43" s="206"/>
      <c r="AB43" s="55"/>
      <c r="AC43" s="55"/>
      <c r="AD43" s="55"/>
      <c r="AE43" s="54"/>
      <c r="AF43" s="54"/>
      <c r="AG43" s="55"/>
      <c r="AH43" s="69"/>
      <c r="AI43" s="54"/>
      <c r="AJ43" s="55"/>
      <c r="AK43" s="69"/>
      <c r="AL43" s="51"/>
      <c r="AM43" s="72">
        <f>SUM(AA43:AK43)</f>
        <v>0</v>
      </c>
      <c r="AN43" s="1"/>
      <c r="AO43" s="72">
        <f>+AM43+S43</f>
        <v>0</v>
      </c>
      <c r="AP43" s="1"/>
      <c r="AQ43" s="1"/>
      <c r="AR43" s="115">
        <f>+AA43+AC43+AF43</f>
        <v>0</v>
      </c>
      <c r="AS43" s="115">
        <f t="shared" si="5"/>
        <v>0</v>
      </c>
      <c r="AT43" s="116">
        <f t="shared" si="6"/>
        <v>0</v>
      </c>
      <c r="AU43" s="116">
        <f t="shared" si="15"/>
        <v>0</v>
      </c>
      <c r="AV43" s="1"/>
      <c r="AW43" s="116"/>
      <c r="AX43" s="116"/>
      <c r="AY43" s="1"/>
      <c r="AZ43" s="1"/>
      <c r="BA43" s="116">
        <f t="shared" si="17"/>
        <v>0</v>
      </c>
      <c r="BB43" s="116">
        <f t="shared" si="9"/>
        <v>0</v>
      </c>
      <c r="BC43" s="116">
        <f t="shared" si="10"/>
        <v>0</v>
      </c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</row>
    <row r="44" spans="1:164" ht="27" customHeight="1" thickBot="1" x14ac:dyDescent="0.3">
      <c r="R44" s="51">
        <f t="shared" si="1"/>
        <v>0</v>
      </c>
      <c r="S44" s="51"/>
      <c r="T44" s="41"/>
      <c r="U44" s="41"/>
      <c r="V44" s="41"/>
      <c r="W44" s="41"/>
      <c r="X44" s="41"/>
      <c r="Y44" s="4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O44" s="51"/>
      <c r="AR44" s="51"/>
      <c r="AS44" s="51"/>
      <c r="AT44" s="51"/>
      <c r="AU44" s="51"/>
      <c r="AW44" s="51"/>
      <c r="AX44" s="51"/>
      <c r="BA44" s="51"/>
      <c r="BB44" s="51"/>
      <c r="BC44" s="51"/>
    </row>
    <row r="45" spans="1:164" s="10" customFormat="1" ht="59" thickBot="1" x14ac:dyDescent="0.35">
      <c r="A45" s="26"/>
      <c r="B45" s="1"/>
      <c r="C45" s="83" t="s">
        <v>16</v>
      </c>
      <c r="D45" s="170" t="s">
        <v>90</v>
      </c>
      <c r="E45" s="74">
        <v>48603</v>
      </c>
      <c r="F45" s="109">
        <v>110125</v>
      </c>
      <c r="G45" s="109">
        <v>72496</v>
      </c>
      <c r="H45" s="75"/>
      <c r="I45" s="75"/>
      <c r="J45" s="182">
        <v>28297</v>
      </c>
      <c r="K45" s="76"/>
      <c r="L45" s="112"/>
      <c r="M45" s="182">
        <v>52910</v>
      </c>
      <c r="N45" s="112"/>
      <c r="O45" s="76"/>
      <c r="P45" s="77"/>
      <c r="Q45" s="1"/>
      <c r="R45" s="78">
        <f t="shared" si="1"/>
        <v>158728</v>
      </c>
      <c r="S45" s="78">
        <f>SUM(E45:P45)</f>
        <v>312431</v>
      </c>
      <c r="T45" s="42"/>
      <c r="U45" s="43"/>
      <c r="V45" s="43">
        <v>5</v>
      </c>
      <c r="W45" s="43">
        <v>4</v>
      </c>
      <c r="X45" s="43">
        <v>6</v>
      </c>
      <c r="Y45" s="60">
        <v>19</v>
      </c>
      <c r="Z45" s="1"/>
      <c r="AA45" s="208"/>
      <c r="AB45" s="79">
        <f>171.36+171.36+171.36+514.08</f>
        <v>1028.1600000000001</v>
      </c>
      <c r="AC45" s="79"/>
      <c r="AD45" s="80">
        <f>3660+8300+8500+4200+8000+7300</f>
        <v>39960</v>
      </c>
      <c r="AE45" s="80"/>
      <c r="AF45" s="80">
        <f>48603</f>
        <v>48603</v>
      </c>
      <c r="AG45" s="79">
        <v>1212.57</v>
      </c>
      <c r="AH45" s="81"/>
      <c r="AI45" s="80"/>
      <c r="AJ45" s="79">
        <v>75388.45</v>
      </c>
      <c r="AK45" s="81"/>
      <c r="AL45" s="51"/>
      <c r="AM45" s="78">
        <f>SUM(AA45:AK45)</f>
        <v>166192.18</v>
      </c>
      <c r="AN45" s="1"/>
      <c r="AO45" s="78">
        <f>+AM45+S45</f>
        <v>478623.18</v>
      </c>
      <c r="AP45" s="1"/>
      <c r="AQ45" s="1"/>
      <c r="AR45" s="195">
        <f>+AA45+AC45+AF45</f>
        <v>48603</v>
      </c>
      <c r="AS45" s="195">
        <f t="shared" si="5"/>
        <v>48603</v>
      </c>
      <c r="AT45" s="256">
        <f t="shared" si="6"/>
        <v>41172.57</v>
      </c>
      <c r="AU45" s="103">
        <f>+AD45+AE45+AH45+AG45+AJ45+AK45</f>
        <v>116561.01999999999</v>
      </c>
      <c r="AV45" s="1"/>
      <c r="AW45" s="78">
        <f>6329.9+6329.9+4373.5+2283.6+7337.2+5710.9+7337.3+7337.3+7337.3+7337.2+3619.4+6329.9+6329.9+5104.9+8424.8+3031.8+7337.3+7337.3+7337.3+129200.4</f>
        <v>245767.1</v>
      </c>
      <c r="AX45" s="81">
        <f>3000000+2000000+1500000+3000000+1500000+3000000+4000000+3000000+2000000+ 1000000+1000000+3000000+5000000+2500000+2000000+1500000+5000000+1000000</f>
        <v>45000000</v>
      </c>
      <c r="AY45" s="1"/>
      <c r="AZ45" s="1"/>
      <c r="BA45" s="78">
        <f t="shared" si="17"/>
        <v>198688</v>
      </c>
      <c r="BB45" s="78">
        <f t="shared" si="9"/>
        <v>199900.57</v>
      </c>
      <c r="BC45" s="78">
        <f t="shared" si="10"/>
        <v>275289.02</v>
      </c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</row>
    <row r="46" spans="1:164" x14ac:dyDescent="0.25">
      <c r="AF46" s="191"/>
      <c r="AI46" s="191"/>
      <c r="BC46" s="41"/>
    </row>
    <row r="47" spans="1:164" ht="26" thickBot="1" x14ac:dyDescent="0.3">
      <c r="BC47" s="41"/>
    </row>
    <row r="48" spans="1:164" s="58" customFormat="1" ht="60" thickBot="1" x14ac:dyDescent="0.6">
      <c r="C48" s="84" t="s">
        <v>37</v>
      </c>
      <c r="D48" s="84"/>
      <c r="E48" s="85">
        <f t="shared" ref="E48:N48" si="19">SUM(E4:E45)</f>
        <v>86097</v>
      </c>
      <c r="F48" s="85">
        <f t="shared" si="19"/>
        <v>157602.4</v>
      </c>
      <c r="G48" s="85"/>
      <c r="H48" s="85">
        <f t="shared" si="19"/>
        <v>56339</v>
      </c>
      <c r="I48" s="85">
        <f t="shared" si="19"/>
        <v>60683.040000000001</v>
      </c>
      <c r="J48" s="85">
        <f t="shared" si="19"/>
        <v>39040</v>
      </c>
      <c r="K48" s="85">
        <f t="shared" si="19"/>
        <v>43508</v>
      </c>
      <c r="L48" s="85">
        <f t="shared" si="19"/>
        <v>43508</v>
      </c>
      <c r="M48" s="85">
        <f t="shared" si="19"/>
        <v>52910</v>
      </c>
      <c r="N48" s="85">
        <f t="shared" si="19"/>
        <v>53661.48</v>
      </c>
      <c r="O48" s="85"/>
      <c r="P48" s="85">
        <f>SUM(P4:P45)</f>
        <v>0</v>
      </c>
      <c r="R48" s="196">
        <f>SUM(R4:R45)</f>
        <v>651712.91999999993</v>
      </c>
      <c r="S48" s="85">
        <f>SUM(S4:S45)</f>
        <v>816158.91999999993</v>
      </c>
      <c r="AA48" s="85">
        <f t="shared" ref="AA48:AG48" si="20">SUM(AA4:AA45)</f>
        <v>0</v>
      </c>
      <c r="AB48" s="85">
        <f t="shared" si="20"/>
        <v>1028.1600000000001</v>
      </c>
      <c r="AC48" s="85">
        <f t="shared" si="20"/>
        <v>20553.02</v>
      </c>
      <c r="AD48" s="85">
        <f t="shared" si="20"/>
        <v>71175</v>
      </c>
      <c r="AE48" s="85">
        <f t="shared" si="20"/>
        <v>215750.46000000002</v>
      </c>
      <c r="AF48" s="85">
        <f t="shared" si="20"/>
        <v>67103</v>
      </c>
      <c r="AG48" s="85">
        <f t="shared" si="20"/>
        <v>1212.57</v>
      </c>
      <c r="AH48" s="85">
        <f>SUM(AH4:AH45)</f>
        <v>246425.20000000004</v>
      </c>
      <c r="AI48" s="85"/>
      <c r="AJ48" s="85"/>
      <c r="AK48" s="85"/>
      <c r="AM48" s="85">
        <f>SUM(AM4:AM45)</f>
        <v>698635.85999999987</v>
      </c>
      <c r="AO48" s="85">
        <f>+AM48+S48</f>
        <v>1514794.7799999998</v>
      </c>
      <c r="AR48" s="102">
        <f>SUM(AR3:AR45)</f>
        <v>87656.02</v>
      </c>
      <c r="AS48" s="102">
        <f t="shared" si="5"/>
        <v>87656.02</v>
      </c>
      <c r="AT48" s="257">
        <f t="shared" si="5"/>
        <v>72387.570000000007</v>
      </c>
      <c r="AU48" s="189">
        <f>SUM(AU3:AU45)</f>
        <v>609951.67999999993</v>
      </c>
      <c r="AW48" s="190">
        <f>SUM(AW3:AW45)</f>
        <v>10659650.73</v>
      </c>
      <c r="AX48" s="190">
        <f>SUM(AX3:AX45)</f>
        <v>48000000</v>
      </c>
      <c r="BA48" s="189">
        <f>SUM(BA4:BA45)</f>
        <v>660164.88</v>
      </c>
      <c r="BB48" s="189">
        <f>SUM(BB4:BB45)</f>
        <v>1186276.1499999999</v>
      </c>
      <c r="BC48" s="189">
        <f>SUM(BC4:BC45)</f>
        <v>1261664.6000000001</v>
      </c>
    </row>
    <row r="49" spans="6:55" ht="33" x14ac:dyDescent="0.35">
      <c r="F49" s="252"/>
      <c r="AO49" s="186">
        <f>+SUM(AO4:AO45)</f>
        <v>1514794.78</v>
      </c>
      <c r="AR49" s="173" t="s">
        <v>99</v>
      </c>
      <c r="AS49" s="173" t="s">
        <v>99</v>
      </c>
      <c r="AT49" s="173"/>
      <c r="BA49" s="173" t="s">
        <v>100</v>
      </c>
      <c r="BB49" s="173" t="s">
        <v>101</v>
      </c>
      <c r="BC49" s="173" t="s">
        <v>111</v>
      </c>
    </row>
    <row r="50" spans="6:55" ht="83" customHeight="1" x14ac:dyDescent="0.25">
      <c r="AW50" s="1"/>
      <c r="AX50" s="1"/>
      <c r="BA50" s="1"/>
      <c r="BB50" s="1"/>
    </row>
    <row r="51" spans="6:55" ht="74" customHeight="1" thickBot="1" x14ac:dyDescent="0.5">
      <c r="AV51" s="105"/>
      <c r="AW51" s="1"/>
      <c r="AX51" s="1"/>
      <c r="BA51" s="242"/>
      <c r="BB51" s="242"/>
    </row>
    <row r="52" spans="6:55" ht="105" customHeight="1" thickTop="1" thickBot="1" x14ac:dyDescent="0.3">
      <c r="BA52" s="246" t="s">
        <v>102</v>
      </c>
      <c r="BB52" s="247">
        <f>+AR48+G45</f>
        <v>160152.02000000002</v>
      </c>
    </row>
    <row r="53" spans="6:55" ht="105" customHeight="1" thickBot="1" x14ac:dyDescent="0.3">
      <c r="BA53" s="243" t="s">
        <v>112</v>
      </c>
      <c r="BB53" s="244">
        <f>+AS48</f>
        <v>87656.02</v>
      </c>
    </row>
    <row r="54" spans="6:55" ht="157" thickBot="1" x14ac:dyDescent="0.3">
      <c r="BA54" s="243" t="s">
        <v>94</v>
      </c>
      <c r="BB54" s="244">
        <f>+BA48</f>
        <v>660164.88</v>
      </c>
    </row>
    <row r="55" spans="6:55" ht="209" thickBot="1" x14ac:dyDescent="0.3">
      <c r="AU55" s="159"/>
      <c r="BA55" s="243" t="s">
        <v>92</v>
      </c>
      <c r="BB55" s="244">
        <f>+BB48</f>
        <v>1186276.1499999999</v>
      </c>
    </row>
    <row r="56" spans="6:55" ht="174" customHeight="1" thickBot="1" x14ac:dyDescent="0.3">
      <c r="AU56" s="159"/>
      <c r="BA56" s="245" t="s">
        <v>110</v>
      </c>
      <c r="BB56" s="253">
        <f>+R48+AU48</f>
        <v>1261664.5999999999</v>
      </c>
    </row>
    <row r="57" spans="6:55" ht="26" thickTop="1" x14ac:dyDescent="0.25">
      <c r="AU57" s="159"/>
      <c r="BA57" s="160" t="s">
        <v>34</v>
      </c>
      <c r="BB57" s="161">
        <f>+SUM(BC4:BC16)</f>
        <v>352855.95</v>
      </c>
    </row>
    <row r="58" spans="6:55" ht="49" thickBot="1" x14ac:dyDescent="0.3">
      <c r="BA58" s="162" t="s">
        <v>114</v>
      </c>
      <c r="BB58" s="163">
        <f>+SUM(BC18:BC45)</f>
        <v>908808.65</v>
      </c>
    </row>
    <row r="60" spans="6:55" x14ac:dyDescent="0.25">
      <c r="BB60" s="197"/>
    </row>
  </sheetData>
  <dataConsolidate/>
  <mergeCells count="5">
    <mergeCell ref="AA1:AH1"/>
    <mergeCell ref="AL1:AM1"/>
    <mergeCell ref="E1:I1"/>
    <mergeCell ref="K1:L1"/>
    <mergeCell ref="AR1:AU1"/>
  </mergeCells>
  <hyperlinks>
    <hyperlink ref="C4" r:id="rId1" display="^@NORD CONSORZIO FRA COOPERATIVE SOCIALI" xr:uid="{08918CF4-76EA-A14D-B28A-2209B56CEF72}"/>
  </hyperlinks>
  <printOptions gridLines="1"/>
  <pageMargins left="0.70866141732283472" right="0.70866141732283472" top="0.74803149606299213" bottom="0.74803149606299213" header="0.31496062992125984" footer="0.31496062992125984"/>
  <pageSetup paperSize="8" scale="98" orientation="landscape"/>
  <headerFooter>
    <oddHeader>&amp;L&amp;"Arial,Grassetto"
Elenco Generale Clienti - Anno 2010&amp;C&amp;"Arial,Grassetto Corsivo"Studio Pietrasanta
Dottori Commercialisti &amp; Revisori Contabili
&amp;RStampato il &amp;D - &amp;T
&amp;Z&amp;F</oddHeader>
    <oddFooter>&amp;RPagina &amp;P di &amp;H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GRUPPO CODESS AGEV COVID + RNA</vt:lpstr>
      <vt:lpstr>'GRUPPO CODESS AGEV COVID + RNA'!Area_stampa</vt:lpstr>
      <vt:lpstr>'GRUPPO CODESS AGEV COVID + RNA'!Titoli_stampa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scenic2</dc:creator>
  <cp:lastModifiedBy>Alessia Bettin</cp:lastModifiedBy>
  <cp:lastPrinted>2021-06-10T20:18:56Z</cp:lastPrinted>
  <dcterms:created xsi:type="dcterms:W3CDTF">2004-06-08T14:29:51Z</dcterms:created>
  <dcterms:modified xsi:type="dcterms:W3CDTF">2022-06-27T12:38:01Z</dcterms:modified>
</cp:coreProperties>
</file>